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14160" windowHeight="9120" activeTab="2"/>
  </bookViews>
  <sheets>
    <sheet name="G" sheetId="1" r:id="rId1"/>
    <sheet name="N" sheetId="2" r:id="rId2"/>
    <sheet name="HBox_data" sheetId="3" r:id="rId3"/>
    <sheet name="_SC" sheetId="4" r:id="rId4"/>
    <sheet name="t2=t22" sheetId="5" r:id="rId5"/>
    <sheet name="_ts" sheetId="6" r:id="rId6"/>
    <sheet name="t2&lt;&gt;t22" sheetId="7" r:id="rId7"/>
    <sheet name="ext.P" sheetId="8" r:id="rId8"/>
    <sheet name="0" sheetId="9" r:id="rId9"/>
  </sheets>
  <definedNames>
    <definedName name="client">'HBox_data'!$E$4</definedName>
    <definedName name="coname">'HBox_data'!$U$68</definedName>
    <definedName name="contractor">'HBox_data'!$E$5</definedName>
    <definedName name="cosymbol">'HBox_data'!$B$68</definedName>
    <definedName name="cp_name">'HBox_data'!$I$17</definedName>
    <definedName name="ec_name">'HBox_data'!$I$20</definedName>
    <definedName name="hbox_dpt">'HBox_data'!$F$19</definedName>
    <definedName name="hbox_hgt">'HBox_data'!$F$18</definedName>
    <definedName name="hbox_lgt">'HBox_data'!$F$20</definedName>
    <definedName name="hbox_pch">'HBox_data'!$R$12</definedName>
    <definedName name="hbox_RS_DF_cp">'t2&lt;&gt;t22'!$AJ$69</definedName>
    <definedName name="hbox_RS_DF_tp">'t2&lt;&gt;t22'!$AJ$64</definedName>
    <definedName name="hbox_RS_DF_ts">'t2&lt;&gt;t22'!$AJ$74</definedName>
    <definedName name="hbox_RS_EQ_cp">'t2=t22'!$AJ$68</definedName>
    <definedName name="hbox_RS_EQ_tp">'t2=t22'!$AJ$60</definedName>
    <definedName name="hbox_RS_EQ_ts">'_ts'!$AJ$68</definedName>
    <definedName name="hbox_t_cp">'HBox_data'!$L$17</definedName>
    <definedName name="hbox_t_ec">'HBox_data'!$L$20</definedName>
    <definedName name="hbox_t_tp">'HBox_data'!$L$18</definedName>
    <definedName name="hbox_tr_ec">'_SC'!$N$67</definedName>
    <definedName name="hbox_TS_DF_cp">'t2&lt;&gt;t22'!$Y$69</definedName>
    <definedName name="hbox_TS_DF_tp">'t2&lt;&gt;t22'!$Y$64</definedName>
    <definedName name="hbox_TS_DF_ts">'t2&lt;&gt;t22'!$Y$74</definedName>
    <definedName name="hbox_TS_EQ_cp">'t2=t22'!$Y$68</definedName>
    <definedName name="hbox_TS_EQ_tp">'t2=t22'!$Y$60</definedName>
    <definedName name="hbox_TS_EQ_ts">'_ts'!$Y$68</definedName>
    <definedName name="headerm">'HBox_data'!$F$17</definedName>
    <definedName name="headermcode">'HBox_data'!$W$11</definedName>
    <definedName name="headermkind">'HBox_data'!$Y$11</definedName>
    <definedName name="headertype">'HBox_data'!$F$16</definedName>
    <definedName name="itemno">'HBox_data'!$R$7</definedName>
    <definedName name="jobno">'HBox_data'!$R$3</definedName>
    <definedName name="jobnoid">'HBox_data'!$P$3</definedName>
    <definedName name="maxpu" localSheetId="7">'ext.P'!#REF!</definedName>
    <definedName name="maxru" localSheetId="7">'ext.P'!#REF!</definedName>
    <definedName name="maxsau" localSheetId="7">'ext.P'!#REF!</definedName>
    <definedName name="maxsecu" localSheetId="7">'ext.P'!#REF!</definedName>
    <definedName name="maxsu" localSheetId="7">'ext.P'!#REF!</definedName>
    <definedName name="maxynu" localSheetId="7">'ext.P'!#REF!</definedName>
    <definedName name="plate_ID_cp">'_SC'!$E$41</definedName>
    <definedName name="plate_ID_ec">'_SC'!$AJ$60</definedName>
    <definedName name="plate_ID_sp">'_SC'!$V$49</definedName>
    <definedName name="plate_ID_tp">'_SC'!$V$45</definedName>
    <definedName name="plate_ID_ts">'_SC'!$L$41</definedName>
    <definedName name="_xlnm.Print_Area" localSheetId="3">'_SC'!$A$1:$AH$75</definedName>
    <definedName name="_xlnm.Print_Area" localSheetId="5">'_ts'!$A$1:$AH$75</definedName>
    <definedName name="_xlnm.Print_Area" localSheetId="8">'0'!$A$1:$AH$75</definedName>
    <definedName name="_xlnm.Print_Area" localSheetId="7">'ext.P'!$A$1:$AH$150</definedName>
    <definedName name="_xlnm.Print_Area" localSheetId="0">'G'!$A$1:$AB$63</definedName>
    <definedName name="_xlnm.Print_Area" localSheetId="2">'HBox_data'!$A$1:$U$68</definedName>
    <definedName name="_xlnm.Print_Area" localSheetId="1">'N'!$A$1:$AB$63</definedName>
    <definedName name="_xlnm.Print_Area" localSheetId="6">'t2&lt;&gt;t22'!$A$1:$AH$75</definedName>
    <definedName name="_xlnm.Print_Area" localSheetId="4">'t2=t22'!$A$1:$AH$75</definedName>
    <definedName name="project">'HBox_data'!$E$3</definedName>
    <definedName name="sc_alpha">'_SC'!$AC$38</definedName>
    <definedName name="sc_ca">'_SC'!$K$21</definedName>
    <definedName name="sc_code">'_SC'!$K$22</definedName>
    <definedName name="sc_date">'_SC'!$AD$2</definedName>
    <definedName name="sc_docno">'_SC'!$AD$1</definedName>
    <definedName name="sc_dp">'_SC'!$K$17</definedName>
    <definedName name="sc_dt">'_SC'!$K$18</definedName>
    <definedName name="sc_endplt5">'_SC'!$S$68</definedName>
    <definedName name="sc_jem">'_SC'!$O$20</definedName>
    <definedName name="sc_jem1">'_SC'!$M$20</definedName>
    <definedName name="sc_jen">'_SC'!$I$20</definedName>
    <definedName name="sc_kei">'_SC'!$AC$42</definedName>
    <definedName name="sc_lco2">'_SC'!$AD$51</definedName>
    <definedName name="sc_lh">'_SC'!$P$42</definedName>
    <definedName name="sc_lho">'_SC'!$Q$42</definedName>
    <definedName name="sc_li2">'_SC'!$AC$35</definedName>
    <definedName name="sc_lt2">'_SC'!$E$31</definedName>
    <definedName name="sc_lt22">'_SC'!$K$31</definedName>
    <definedName name="sc_mas">'_SC'!$K$24</definedName>
    <definedName name="sc_mys">'_SC'!$K$25</definedName>
    <definedName name="sc_pu">'_SC'!$N$17</definedName>
    <definedName name="sc_revno">'_SC'!$AD$3</definedName>
    <definedName name="sc_sci1">'_SC'!$AD$46</definedName>
    <definedName name="sc_sco1">'_SC'!$AD$47</definedName>
    <definedName name="sc_sh">'_SC'!$H$31</definedName>
    <definedName name="sc_sheetqty">'_SC'!$AG$4</definedName>
    <definedName name="sc_shellm">'_SC'!$K$23</definedName>
    <definedName name="sc_sho">'_SC'!$G$30</definedName>
    <definedName name="sc_si1">'_SC'!$AC$33</definedName>
    <definedName name="sc_st1">'_SC'!$P$37</definedName>
    <definedName name="sc_title">'_SC'!$A$2</definedName>
    <definedName name="sc_title2">'_SC'!$B$1</definedName>
    <definedName name="sc_tu">'_SC'!$N$18</definedName>
    <definedName name="sc_vsllgt">'_SC'!$K$55</definedName>
    <definedName name="service">'HBox_data'!$E$7</definedName>
    <definedName name="tca">'HBox_data'!$R$13</definedName>
    <definedName name="tdp">'HBox_data'!$G$12</definedName>
    <definedName name="tdt">'HBox_data'!$G$13</definedName>
    <definedName name="tp_name">'HBox_data'!$I$18</definedName>
    <definedName name="ts_name">'HBox_data'!$I$16</definedName>
    <definedName name="tst">'HBox_data'!$L$16</definedName>
    <definedName name="tubeod">'HBox_data'!$R$11</definedName>
    <definedName name="tups">'HBox_data'!$J$12</definedName>
    <definedName name="tutemp">'HBox_data'!$J$13</definedName>
  </definedNames>
  <calcPr fullCalcOnLoad="1"/>
</workbook>
</file>

<file path=xl/comments3.xml><?xml version="1.0" encoding="utf-8"?>
<comments xmlns="http://schemas.openxmlformats.org/spreadsheetml/2006/main">
  <authors>
    <author>NARAE</author>
  </authors>
  <commentList>
    <comment ref="W6" authorId="0">
      <text>
        <r>
          <rPr>
            <b/>
            <sz val="8"/>
            <rFont val="Arial"/>
            <family val="2"/>
          </rPr>
          <t xml:space="preserve">Cell is filled !
</t>
        </r>
      </text>
    </comment>
    <comment ref="U54" authorId="0">
      <text>
        <r>
          <rPr>
            <b/>
            <sz val="8"/>
            <rFont val="Arial"/>
            <family val="2"/>
          </rPr>
          <t xml:space="preserve">Cell is filled !
</t>
        </r>
      </text>
    </comment>
    <comment ref="U64" authorId="0">
      <text>
        <r>
          <rPr>
            <b/>
            <sz val="8"/>
            <rFont val="Arial"/>
            <family val="2"/>
          </rPr>
          <t xml:space="preserve">Cell is filled !
</t>
        </r>
      </text>
    </comment>
    <comment ref="R19" authorId="0">
      <text>
        <r>
          <rPr>
            <b/>
            <sz val="8"/>
            <rFont val="Arial"/>
            <family val="2"/>
          </rPr>
          <t xml:space="preserve">Cell is filled !
</t>
        </r>
      </text>
    </comment>
  </commentList>
</comments>
</file>

<file path=xl/comments4.xml><?xml version="1.0" encoding="utf-8"?>
<comments xmlns="http://schemas.openxmlformats.org/spreadsheetml/2006/main">
  <authors>
    <author>..</author>
  </authors>
  <commentList>
    <comment ref="O20" authorId="0">
      <text>
        <r>
          <rPr>
            <b/>
            <sz val="8"/>
            <rFont val="Arial"/>
            <family val="2"/>
          </rPr>
          <t xml:space="preserve">for " t22 "
if t2 &lt;&gt; t22
</t>
        </r>
      </text>
    </comment>
    <comment ref="M20" authorId="0">
      <text>
        <r>
          <rPr>
            <b/>
            <sz val="8"/>
            <rFont val="Arial"/>
            <family val="2"/>
          </rPr>
          <t xml:space="preserve">for " t2 "
if t2 &lt;&gt; t22
</t>
        </r>
      </text>
    </comment>
  </commentList>
</comments>
</file>

<file path=xl/sharedStrings.xml><?xml version="1.0" encoding="utf-8"?>
<sst xmlns="http://schemas.openxmlformats.org/spreadsheetml/2006/main" count="1708" uniqueCount="688">
  <si>
    <t>of</t>
  </si>
  <si>
    <t>1.</t>
  </si>
  <si>
    <t>Aaaaaa</t>
  </si>
  <si>
    <t>Project</t>
  </si>
  <si>
    <t>Item No.</t>
  </si>
  <si>
    <t>Serivice</t>
  </si>
  <si>
    <t>Project</t>
  </si>
  <si>
    <t>Item No.</t>
  </si>
  <si>
    <t>Serivice</t>
  </si>
  <si>
    <t>Project</t>
  </si>
  <si>
    <t>Doc. No.</t>
  </si>
  <si>
    <t>Item No.</t>
  </si>
  <si>
    <t>Sheet No.</t>
  </si>
  <si>
    <t>of</t>
  </si>
  <si>
    <t>Serivice</t>
  </si>
  <si>
    <t>Revision</t>
  </si>
  <si>
    <t>0.</t>
  </si>
  <si>
    <t xml:space="preserve"> NTES</t>
  </si>
  <si>
    <t>x</t>
  </si>
  <si>
    <t>Date</t>
  </si>
  <si>
    <t>06.  9.  15.</t>
  </si>
  <si>
    <t>Design data</t>
  </si>
  <si>
    <t>2.</t>
  </si>
  <si>
    <t>Dimensional Schematic</t>
  </si>
  <si>
    <r>
      <t>H</t>
    </r>
    <r>
      <rPr>
        <sz val="8"/>
        <rFont val="Arial"/>
        <family val="2"/>
      </rPr>
      <t xml:space="preserve"> =</t>
    </r>
  </si>
  <si>
    <t>Q</t>
  </si>
  <si>
    <t>N</t>
  </si>
  <si>
    <t>M1</t>
  </si>
  <si>
    <t>M</t>
  </si>
  <si>
    <t>Q1</t>
  </si>
  <si>
    <t>H / 2</t>
  </si>
  <si>
    <t>t2</t>
  </si>
  <si>
    <t>t22</t>
  </si>
  <si>
    <t>t1</t>
  </si>
  <si>
    <t>h / 2</t>
  </si>
  <si>
    <t>h / 2</t>
  </si>
  <si>
    <r>
      <t>h</t>
    </r>
    <r>
      <rPr>
        <sz val="9"/>
        <rFont val="Arial"/>
        <family val="2"/>
      </rPr>
      <t xml:space="preserve"> =</t>
    </r>
  </si>
  <si>
    <t>Unreinforced Vessel</t>
  </si>
  <si>
    <t>Membrane stress</t>
  </si>
  <si>
    <t>=</t>
  </si>
  <si>
    <t>x</t>
  </si>
  <si>
    <t>/</t>
  </si>
  <si>
    <t>Design Pressure</t>
  </si>
  <si>
    <t>Design temperature</t>
  </si>
  <si>
    <t>Corrosion Allow.</t>
  </si>
  <si>
    <t>mm</t>
  </si>
  <si>
    <t>=</t>
  </si>
  <si>
    <t>Bending Stress</t>
  </si>
  <si>
    <t>[</t>
  </si>
  <si>
    <t>12  I1</t>
  </si>
  <si>
    <t>1 + K</t>
  </si>
  <si>
    <t>]</t>
  </si>
  <si>
    <t>)  ]</t>
  </si>
  <si>
    <t>-1.5 x</t>
  </si>
  <si>
    <t>^2</t>
  </si>
  <si>
    <t>+</t>
  </si>
  <si>
    <t>-1.5 H^2 + h^2  (</t>
  </si>
  <si>
    <t>^2 (</t>
  </si>
  <si>
    <r>
      <t xml:space="preserve">1 + </t>
    </r>
    <r>
      <rPr>
        <sz val="8"/>
        <rFont val="돋움"/>
        <family val="3"/>
      </rPr>
      <t>α</t>
    </r>
    <r>
      <rPr>
        <sz val="8"/>
        <rFont val="Arial"/>
        <family val="2"/>
      </rPr>
      <t>^2 K</t>
    </r>
  </si>
  <si>
    <t>1 +</t>
  </si>
  <si>
    <t>^2 x</t>
  </si>
  <si>
    <t>3.</t>
  </si>
  <si>
    <t>Moment of Inertia</t>
  </si>
  <si>
    <t>I1</t>
  </si>
  <si>
    <t>t1^3 / 12</t>
  </si>
  <si>
    <t>^3 / 12</t>
  </si>
  <si>
    <t>mm^4</t>
  </si>
  <si>
    <t>I2</t>
  </si>
  <si>
    <t>t2^3 / 12</t>
  </si>
  <si>
    <t>α</t>
  </si>
  <si>
    <t>H / h</t>
  </si>
  <si>
    <t>/</t>
  </si>
  <si>
    <t>K</t>
  </si>
  <si>
    <t>-</t>
  </si>
  <si>
    <t>t1 / 2</t>
  </si>
  <si>
    <t>t2 / 2</t>
  </si>
  <si>
    <t>t2 / 2</t>
  </si>
  <si>
    <t>P h^2 c</t>
  </si>
  <si>
    <t>(</t>
  </si>
  <si>
    <t>)</t>
  </si>
  <si>
    <t>-1.5  +</t>
  </si>
  <si>
    <t>12  I2</t>
  </si>
  <si>
    <t>Total Stress</t>
  </si>
  <si>
    <t>StN</t>
  </si>
  <si>
    <t>+</t>
  </si>
  <si>
    <t>=</t>
  </si>
  <si>
    <t>StQ</t>
  </si>
  <si>
    <t>StM</t>
  </si>
  <si>
    <t>Code</t>
  </si>
  <si>
    <t>Mateiral</t>
  </si>
  <si>
    <t>Max. Allowable Stress</t>
  </si>
  <si>
    <t>ASTM</t>
  </si>
  <si>
    <t>S</t>
  </si>
  <si>
    <t>mm</t>
  </si>
  <si>
    <t>SmL</t>
  </si>
  <si>
    <r>
      <t>h</t>
    </r>
    <r>
      <rPr>
        <sz val="8"/>
        <rFont val="Arial"/>
        <family val="2"/>
      </rPr>
      <t xml:space="preserve"> =</t>
    </r>
  </si>
  <si>
    <t>SmS</t>
  </si>
  <si>
    <t>P h^2 c</t>
  </si>
  <si>
    <t>P  c</t>
  </si>
  <si>
    <t>SmL</t>
  </si>
  <si>
    <t>+</t>
  </si>
  <si>
    <t>S</t>
  </si>
  <si>
    <t>x S</t>
  </si>
  <si>
    <t>=</t>
  </si>
  <si>
    <t>^2 x</t>
  </si>
  <si>
    <t>Project</t>
  </si>
  <si>
    <t>Item No.</t>
  </si>
  <si>
    <t>Serivice</t>
  </si>
  <si>
    <t>Unreinforced Vessel</t>
  </si>
  <si>
    <t>Membrane stress</t>
  </si>
  <si>
    <t>S</t>
  </si>
  <si>
    <t>=</t>
  </si>
  <si>
    <t>x</t>
  </si>
  <si>
    <t>Bending Stress</t>
  </si>
  <si>
    <t>[</t>
  </si>
  <si>
    <t>+</t>
  </si>
  <si>
    <t>Total Stress</t>
  </si>
  <si>
    <t>x S</t>
  </si>
  <si>
    <t>StM</t>
  </si>
  <si>
    <t>*</t>
  </si>
  <si>
    <t>Sm</t>
  </si>
  <si>
    <t>Smt2</t>
  </si>
  <si>
    <t>P</t>
  </si>
  <si>
    <t>8 N H t2</t>
  </si>
  <si>
    <t>{</t>
  </si>
  <si>
    <t>4 N H^2 - 2 h^2</t>
  </si>
  <si>
    <t>]  }</t>
  </si>
  <si>
    <t>8 x</t>
  </si>
  <si>
    <t>x</t>
  </si>
  <si>
    <t>^2</t>
  </si>
  <si>
    <t>[</t>
  </si>
  <si>
    <r>
      <t xml:space="preserve">( K2 + k2 )  -  k1 ( K1 + k2 )  +  </t>
    </r>
    <r>
      <rPr>
        <sz val="8"/>
        <rFont val="돋움"/>
        <family val="3"/>
      </rPr>
      <t>α</t>
    </r>
    <r>
      <rPr>
        <sz val="8"/>
        <rFont val="Arial"/>
        <family val="2"/>
      </rPr>
      <t>^2 k2 ( K2 - K1 )</t>
    </r>
  </si>
  <si>
    <t>Smt22</t>
  </si>
  <si>
    <t>8 N H t22</t>
  </si>
  <si>
    <r>
      <t xml:space="preserve">- ( K2 + k2 )  +  k1 ( K1 + k2 )  -  </t>
    </r>
    <r>
      <rPr>
        <sz val="8"/>
        <rFont val="돋움"/>
        <family val="3"/>
      </rPr>
      <t>α</t>
    </r>
    <r>
      <rPr>
        <sz val="8"/>
        <rFont val="Arial"/>
        <family val="2"/>
      </rPr>
      <t>^2 k2 ( K2 - K1 )</t>
    </r>
  </si>
  <si>
    <t>P c h^2</t>
  </si>
  <si>
    <t>4  N  I1</t>
  </si>
  <si>
    <r>
      <t xml:space="preserve">( K2 - k1 k2 )  +  </t>
    </r>
    <r>
      <rPr>
        <sz val="8"/>
        <rFont val="돋움"/>
        <family val="3"/>
      </rPr>
      <t>α</t>
    </r>
    <r>
      <rPr>
        <sz val="8"/>
        <rFont val="Arial"/>
        <family val="2"/>
      </rPr>
      <t>^2 k2 ( K2 - k2 )</t>
    </r>
  </si>
  <si>
    <t>]</t>
  </si>
  <si>
    <t>}</t>
  </si>
  <si>
    <r>
      <t xml:space="preserve">( K1 k1 - k2 )  +  </t>
    </r>
    <r>
      <rPr>
        <sz val="8"/>
        <rFont val="돋움"/>
        <family val="3"/>
      </rPr>
      <t>α</t>
    </r>
    <r>
      <rPr>
        <sz val="8"/>
        <rFont val="Arial"/>
        <family val="2"/>
      </rPr>
      <t>^2 k2 ( K1 - k2 )</t>
    </r>
  </si>
  <si>
    <t>2  [</t>
  </si>
  <si>
    <t>N</t>
  </si>
  <si>
    <t>]  -</t>
  </si>
  <si>
    <t>4 N  I22</t>
  </si>
  <si>
    <t>4 N  I2</t>
  </si>
  <si>
    <t>8 N  I22</t>
  </si>
  <si>
    <t>8 N  I2</t>
  </si>
  <si>
    <t>StQ</t>
  </si>
  <si>
    <t>StQ1</t>
  </si>
  <si>
    <t>StM1</t>
  </si>
  <si>
    <t>StQ1L</t>
  </si>
  <si>
    <t>StQL</t>
  </si>
  <si>
    <t>4.</t>
  </si>
  <si>
    <t>&lt;&gt;</t>
  </si>
  <si>
    <t>*</t>
  </si>
  <si>
    <t>t2</t>
  </si>
  <si>
    <t>=</t>
  </si>
  <si>
    <t>+</t>
  </si>
  <si>
    <t>-1.5 +</t>
  </si>
  <si>
    <t>:</t>
  </si>
  <si>
    <t>:</t>
  </si>
  <si>
    <t>h</t>
  </si>
  <si>
    <t>2 x</t>
  </si>
  <si>
    <t>Parameters for Unreinforced</t>
  </si>
  <si>
    <t>Stiffener ' t2 '</t>
  </si>
  <si>
    <t>Stiffener for ' t1 '</t>
  </si>
  <si>
    <t>y</t>
  </si>
  <si>
    <t>d</t>
  </si>
  <si>
    <t>x (</t>
  </si>
  <si>
    <t>)^0.5</t>
  </si>
  <si>
    <t>t22</t>
  </si>
  <si>
    <t>-&gt;</t>
  </si>
  <si>
    <t>pmax</t>
  </si>
  <si>
    <t>Joint Effeciency</t>
  </si>
  <si>
    <t>Min. Yield Strength</t>
  </si>
  <si>
    <t>Sy</t>
  </si>
  <si>
    <t>:</t>
  </si>
  <si>
    <t xml:space="preserve"> Type</t>
  </si>
  <si>
    <t xml:space="preserve"> Size</t>
  </si>
  <si>
    <t xml:space="preserve"> Flat Bar</t>
  </si>
  <si>
    <t xml:space="preserve"> Code</t>
  </si>
  <si>
    <t xml:space="preserve"> Material</t>
  </si>
  <si>
    <t xml:space="preserve"> S</t>
  </si>
  <si>
    <t xml:space="preserve"> Sy</t>
  </si>
  <si>
    <t>p</t>
  </si>
  <si>
    <t>Outer Surf.</t>
  </si>
  <si>
    <t>Inner Surf.</t>
  </si>
  <si>
    <t>O. S.</t>
  </si>
  <si>
    <t>I. S.</t>
  </si>
  <si>
    <t>I. S.</t>
  </si>
  <si>
    <t xml:space="preserve"> Mat.</t>
  </si>
  <si>
    <t xml:space="preserve"> S</t>
  </si>
  <si>
    <t xml:space="preserve"> Sy</t>
  </si>
  <si>
    <t xml:space="preserve"> t3</t>
  </si>
  <si>
    <t>t3</t>
  </si>
  <si>
    <t>h=</t>
  </si>
  <si>
    <t>***</t>
  </si>
  <si>
    <t>t</t>
  </si>
  <si>
    <t>(Sb)N</t>
  </si>
  <si>
    <t>(Sb)QS</t>
  </si>
  <si>
    <t>(Sb)M</t>
  </si>
  <si>
    <t>(Sb)QL</t>
  </si>
  <si>
    <t>(Sb)Q</t>
  </si>
  <si>
    <t>(Sb)Q1</t>
  </si>
  <si>
    <t>(Sb)M1</t>
  </si>
  <si>
    <t>(Sb)Q1L</t>
  </si>
  <si>
    <t>/</t>
  </si>
  <si>
    <t>Joint</t>
  </si>
  <si>
    <t>" Q "</t>
  </si>
  <si>
    <t>" M "</t>
  </si>
  <si>
    <t>Stay</t>
  </si>
  <si>
    <t>0.</t>
  </si>
  <si>
    <t>:</t>
  </si>
  <si>
    <r>
      <t xml:space="preserve">ASME Sec. VIII Div. 1, </t>
    </r>
    <r>
      <rPr>
        <b/>
        <sz val="8"/>
        <rFont val="Arial"/>
        <family val="2"/>
      </rPr>
      <t>Mandatory Appendix 13</t>
    </r>
  </si>
  <si>
    <t>Calculation Equation</t>
  </si>
  <si>
    <t>Assumption</t>
  </si>
  <si>
    <t>&gt;=</t>
  </si>
  <si>
    <t>Ratio, Vessel Length / h or H</t>
  </si>
  <si>
    <t>P h / 2 t1 eN</t>
  </si>
  <si>
    <t>P H / 2 t2 eM</t>
  </si>
  <si>
    <t>/ 2 /</t>
  </si>
  <si>
    <t>eM1</t>
  </si>
  <si>
    <t>eM</t>
  </si>
  <si>
    <t>eN</t>
  </si>
  <si>
    <t>}</t>
  </si>
  <si>
    <t>Summary of Results</t>
  </si>
  <si>
    <t>Result</t>
  </si>
  <si>
    <t>Ratio</t>
  </si>
  <si>
    <t>St / Sa</t>
  </si>
  <si>
    <t xml:space="preserve"> Stiffened</t>
  </si>
  <si>
    <t xml:space="preserve"> 1 Stay Plate</t>
  </si>
  <si>
    <t>E</t>
  </si>
  <si>
    <t>N</t>
  </si>
  <si>
    <t>M</t>
  </si>
  <si>
    <t>M1</t>
  </si>
  <si>
    <t>Max.</t>
  </si>
  <si>
    <t>Parameters</t>
  </si>
  <si>
    <t>k1</t>
  </si>
  <si>
    <t>I22</t>
  </si>
  <si>
    <t>t22^3 / 12</t>
  </si>
  <si>
    <t>^3</t>
  </si>
  <si>
    <t>k2</t>
  </si>
  <si>
    <t>I22 / I2</t>
  </si>
  <si>
    <r>
      <t xml:space="preserve">I22 </t>
    </r>
    <r>
      <rPr>
        <sz val="8"/>
        <rFont val="돋움"/>
        <family val="3"/>
      </rPr>
      <t>α</t>
    </r>
    <r>
      <rPr>
        <sz val="8"/>
        <rFont val="Arial"/>
        <family val="2"/>
      </rPr>
      <t xml:space="preserve"> / I1</t>
    </r>
  </si>
  <si>
    <t>K1</t>
  </si>
  <si>
    <t>K2</t>
  </si>
  <si>
    <t>2 k2 +3</t>
  </si>
  <si>
    <t>3 k1 + 2 k2</t>
  </si>
  <si>
    <t>K1 K2 - k2^2</t>
  </si>
  <si>
    <r>
      <t xml:space="preserve">for " </t>
    </r>
    <r>
      <rPr>
        <b/>
        <sz val="8"/>
        <rFont val="Arial"/>
        <family val="2"/>
      </rPr>
      <t>t22</t>
    </r>
    <r>
      <rPr>
        <sz val="8"/>
        <rFont val="Arial"/>
        <family val="2"/>
      </rPr>
      <t xml:space="preserve"> ",</t>
    </r>
  </si>
  <si>
    <t>Co22</t>
  </si>
  <si>
    <t>-t22 / 2</t>
  </si>
  <si>
    <t>/ 2</t>
  </si>
  <si>
    <t>Ci22</t>
  </si>
  <si>
    <t>- Co22</t>
  </si>
  <si>
    <t>SC - RPV - 100</t>
  </si>
  <si>
    <t xml:space="preserve"> Program  User  Guide  :</t>
  </si>
  <si>
    <t>Doc. No.</t>
  </si>
  <si>
    <t>Date</t>
  </si>
  <si>
    <t>Revision</t>
  </si>
  <si>
    <t>1.</t>
  </si>
  <si>
    <t>Introduction</t>
  </si>
  <si>
    <t>Sheet No.</t>
  </si>
  <si>
    <t>of</t>
  </si>
  <si>
    <t>2.</t>
  </si>
  <si>
    <t>References</t>
  </si>
  <si>
    <t>The program is based on the following, which shall be referred to for further understanding.</t>
  </si>
  <si>
    <t>-</t>
  </si>
  <si>
    <t>3.</t>
  </si>
  <si>
    <t>Future Development</t>
  </si>
  <si>
    <t>Description</t>
  </si>
  <si>
    <t>Version</t>
  </si>
  <si>
    <t>Remarks</t>
  </si>
  <si>
    <t>4.</t>
  </si>
  <si>
    <t>Program Architecture</t>
  </si>
  <si>
    <t>EXCEL Sheets</t>
  </si>
  <si>
    <t>Data Files</t>
  </si>
  <si>
    <t>materials ASTM</t>
  </si>
  <si>
    <r>
      <t xml:space="preserve">Stress Values of  </t>
    </r>
    <r>
      <rPr>
        <b/>
        <sz val="9"/>
        <rFont val="Arial"/>
        <family val="2"/>
      </rPr>
      <t>ASTM</t>
    </r>
    <r>
      <rPr>
        <sz val="9"/>
        <rFont val="Arial"/>
        <family val="2"/>
      </rPr>
      <t xml:space="preserve"> / </t>
    </r>
    <r>
      <rPr>
        <b/>
        <sz val="9"/>
        <rFont val="Arial"/>
        <family val="2"/>
      </rPr>
      <t>ASME</t>
    </r>
    <r>
      <rPr>
        <sz val="9"/>
        <rFont val="Arial"/>
        <family val="2"/>
      </rPr>
      <t xml:space="preserve">  materials</t>
    </r>
  </si>
  <si>
    <t>materials common</t>
  </si>
  <si>
    <t>Material Index, Flange Data, Modulus of Elasticity, S.G. …...</t>
  </si>
  <si>
    <t>materials JIS</t>
  </si>
  <si>
    <r>
      <t xml:space="preserve">Stress Values of  </t>
    </r>
    <r>
      <rPr>
        <b/>
        <sz val="9"/>
        <rFont val="Arial"/>
        <family val="2"/>
      </rPr>
      <t>JIS</t>
    </r>
    <r>
      <rPr>
        <sz val="9"/>
        <rFont val="Arial"/>
        <family val="2"/>
      </rPr>
      <t xml:space="preserve">  materials</t>
    </r>
  </si>
  <si>
    <t>materials KS</t>
  </si>
  <si>
    <r>
      <t xml:space="preserve">Stress Values of  </t>
    </r>
    <r>
      <rPr>
        <b/>
        <sz val="9"/>
        <rFont val="Arial"/>
        <family val="2"/>
      </rPr>
      <t>KS</t>
    </r>
    <r>
      <rPr>
        <sz val="9"/>
        <rFont val="Arial"/>
        <family val="2"/>
      </rPr>
      <t xml:space="preserve">  materials</t>
    </r>
  </si>
  <si>
    <t>materials standard design</t>
  </si>
  <si>
    <t>Data for Pipe, Design Standard such as Saddle, ……</t>
  </si>
  <si>
    <t>5.</t>
  </si>
  <si>
    <t>General Information</t>
  </si>
  <si>
    <r>
      <t xml:space="preserve">Data are inputed via cells with </t>
    </r>
    <r>
      <rPr>
        <b/>
        <sz val="9"/>
        <color indexed="12"/>
        <rFont val="Arial"/>
        <family val="2"/>
      </rPr>
      <t>blue</t>
    </r>
    <r>
      <rPr>
        <sz val="9"/>
        <rFont val="Arial"/>
        <family val="2"/>
      </rPr>
      <t xml:space="preserve"> words / numbers and comboboxes.</t>
    </r>
  </si>
  <si>
    <r>
      <t xml:space="preserve">Attention shall be paid to cells with </t>
    </r>
    <r>
      <rPr>
        <b/>
        <sz val="9"/>
        <color indexed="10"/>
        <rFont val="Arial"/>
        <family val="2"/>
      </rPr>
      <t>red</t>
    </r>
    <r>
      <rPr>
        <sz val="9"/>
        <rFont val="Arial"/>
        <family val="2"/>
      </rPr>
      <t xml:space="preserve"> words /  numbers.</t>
    </r>
  </si>
  <si>
    <r>
      <t xml:space="preserve">각 Sheet 의 하단에 나타나는 회사명을 바꾸려면 INPUT SHEET 하단에 있는 </t>
    </r>
    <r>
      <rPr>
        <b/>
        <sz val="9"/>
        <color indexed="12"/>
        <rFont val="돋움"/>
        <family val="3"/>
      </rPr>
      <t>푸른색</t>
    </r>
    <r>
      <rPr>
        <sz val="9"/>
        <rFont val="돋움"/>
        <family val="3"/>
      </rPr>
      <t xml:space="preserve"> 회사명을 바꾸기만 하면 된다.</t>
    </r>
  </si>
  <si>
    <t xml:space="preserve"> Design Notes  :</t>
  </si>
  <si>
    <t>Doc. No.</t>
  </si>
  <si>
    <t>Date</t>
  </si>
  <si>
    <t>Revision</t>
  </si>
  <si>
    <t>1.</t>
  </si>
  <si>
    <t>Introduction</t>
  </si>
  <si>
    <t>Sheet No.</t>
  </si>
  <si>
    <t>of</t>
  </si>
  <si>
    <t>These notes are intended to help designers follow normal design practices, and further reach an optimum</t>
  </si>
  <si>
    <t>design.</t>
  </si>
  <si>
    <t>2.</t>
  </si>
  <si>
    <t>Notes</t>
  </si>
  <si>
    <t>Aaa</t>
  </si>
  <si>
    <t>Aaaaaa</t>
  </si>
  <si>
    <r>
      <t xml:space="preserve">This guide is intended to outline a program for </t>
    </r>
    <r>
      <rPr>
        <b/>
        <sz val="9"/>
        <rFont val="Arial"/>
        <family val="2"/>
      </rPr>
      <t xml:space="preserve">strength calculation </t>
    </r>
    <r>
      <rPr>
        <sz val="9"/>
        <rFont val="Arial"/>
        <family val="2"/>
      </rPr>
      <t>of</t>
    </r>
    <r>
      <rPr>
        <b/>
        <sz val="9"/>
        <rFont val="Arial"/>
        <family val="2"/>
      </rPr>
      <t xml:space="preserve"> rectangular vessel.</t>
    </r>
  </si>
  <si>
    <t>PUG - SCRPV - 000</t>
  </si>
  <si>
    <t>DN - SCRPV - 000</t>
  </si>
  <si>
    <t>ASME Sec. VIII Div. 1, Mandatory Appendix 13</t>
  </si>
  <si>
    <r>
      <t xml:space="preserve">" </t>
    </r>
    <r>
      <rPr>
        <b/>
        <sz val="9"/>
        <rFont val="Arial"/>
        <family val="2"/>
      </rPr>
      <t>Vessels of Noncircular Cross Section</t>
    </r>
    <r>
      <rPr>
        <sz val="9"/>
        <rFont val="Arial"/>
        <family val="2"/>
      </rPr>
      <t xml:space="preserve"> "</t>
    </r>
  </si>
  <si>
    <t>Project</t>
  </si>
  <si>
    <t>Item No.</t>
  </si>
  <si>
    <t>Serivice</t>
  </si>
  <si>
    <t>Unreinforced Vessel</t>
  </si>
  <si>
    <t>*</t>
  </si>
  <si>
    <t>t2</t>
  </si>
  <si>
    <t>=</t>
  </si>
  <si>
    <t>t22</t>
  </si>
  <si>
    <t>x</t>
  </si>
  <si>
    <r>
      <t xml:space="preserve">under </t>
    </r>
    <r>
      <rPr>
        <b/>
        <sz val="8"/>
        <color indexed="10"/>
        <rFont val="Arial"/>
        <family val="2"/>
      </rPr>
      <t>External Pressure</t>
    </r>
  </si>
  <si>
    <t>SmA</t>
  </si>
  <si>
    <t>2 ( t1 H + t2 h )</t>
  </si>
  <si>
    <t>Pe h H</t>
  </si>
  <si>
    <t>2 (</t>
  </si>
  <si>
    <t>SmB</t>
  </si>
  <si>
    <t>Pe h / 2 t1</t>
  </si>
  <si>
    <t>S'crA</t>
  </si>
  <si>
    <r>
      <t>π</t>
    </r>
    <r>
      <rPr>
        <vertAlign val="superscript"/>
        <sz val="8"/>
        <rFont val="돋움"/>
        <family val="3"/>
      </rPr>
      <t>2</t>
    </r>
    <r>
      <rPr>
        <sz val="8"/>
        <rFont val="Arial"/>
        <family val="2"/>
      </rPr>
      <t xml:space="preserve"> E2</t>
    </r>
  </si>
  <si>
    <r>
      <t xml:space="preserve">12 ( 1 - </t>
    </r>
    <r>
      <rPr>
        <sz val="8"/>
        <rFont val="돋움"/>
        <family val="3"/>
      </rPr>
      <t>υ</t>
    </r>
    <r>
      <rPr>
        <vertAlign val="superscript"/>
        <sz val="8"/>
        <rFont val="돋움"/>
        <family val="3"/>
      </rPr>
      <t>2</t>
    </r>
    <r>
      <rPr>
        <sz val="8"/>
        <rFont val="Arial"/>
        <family val="2"/>
      </rPr>
      <t xml:space="preserve"> )</t>
    </r>
  </si>
  <si>
    <t>H</t>
  </si>
  <si>
    <r>
      <t>)</t>
    </r>
    <r>
      <rPr>
        <vertAlign val="superscript"/>
        <sz val="8"/>
        <rFont val="Arial"/>
        <family val="2"/>
      </rPr>
      <t>2</t>
    </r>
  </si>
  <si>
    <r>
      <t>K</t>
    </r>
    <r>
      <rPr>
        <vertAlign val="subscript"/>
        <sz val="8"/>
        <rFont val="Arial"/>
        <family val="2"/>
      </rPr>
      <t>A</t>
    </r>
  </si>
  <si>
    <t>^2 )</t>
  </si>
  <si>
    <t>S''crA</t>
  </si>
  <si>
    <r>
      <t>Sy - Sy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/ 4 S'crA</t>
    </r>
  </si>
  <si>
    <t>S'crB</t>
  </si>
  <si>
    <t>Lv</t>
  </si>
  <si>
    <r>
      <t>K</t>
    </r>
    <r>
      <rPr>
        <vertAlign val="subscript"/>
        <sz val="8"/>
        <rFont val="Arial"/>
        <family val="2"/>
      </rPr>
      <t>B</t>
    </r>
  </si>
  <si>
    <t>S''crB</t>
  </si>
  <si>
    <r>
      <t>Sy - Sy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/ 4 S'crB</t>
    </r>
  </si>
  <si>
    <t>^2 /</t>
  </si>
  <si>
    <t>4 /</t>
  </si>
  <si>
    <t>Pe H / 2 t2</t>
  </si>
  <si>
    <t>h</t>
  </si>
  <si>
    <t>End Plate</t>
  </si>
  <si>
    <t>Pe H Lv</t>
  </si>
  <si>
    <t>2 ( t2 Lv + t5 H )</t>
  </si>
  <si>
    <t>Pe h Lv</t>
  </si>
  <si>
    <t>2 ( t1 Lv + t5 h )</t>
  </si>
  <si>
    <t>t5</t>
  </si>
  <si>
    <t>3.1</t>
  </si>
  <si>
    <t>Stability Check</t>
  </si>
  <si>
    <t>Column Stability Check</t>
  </si>
  <si>
    <t>Sa</t>
  </si>
  <si>
    <t>Pe ho Ho</t>
  </si>
  <si>
    <t>Cc</t>
  </si>
  <si>
    <r>
      <t>( 2 π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E2 / Sy )^0.5</t>
    </r>
  </si>
  <si>
    <t>Fa</t>
  </si>
  <si>
    <r>
      <t>2 Cc</t>
    </r>
    <r>
      <rPr>
        <vertAlign val="superscript"/>
        <sz val="8"/>
        <rFont val="Arial"/>
        <family val="2"/>
      </rPr>
      <t>2</t>
    </r>
  </si>
  <si>
    <t>8 Cc</t>
  </si>
  <si>
    <r>
      <t>8 Cc</t>
    </r>
    <r>
      <rPr>
        <vertAlign val="superscript"/>
        <sz val="8"/>
        <rFont val="Arial"/>
        <family val="2"/>
      </rPr>
      <t>3</t>
    </r>
  </si>
  <si>
    <r>
      <t>)</t>
    </r>
    <r>
      <rPr>
        <vertAlign val="superscript"/>
        <sz val="8"/>
        <rFont val="Arial"/>
        <family val="2"/>
      </rPr>
      <t>2</t>
    </r>
  </si>
  <si>
    <r>
      <t>)</t>
    </r>
    <r>
      <rPr>
        <vertAlign val="superscript"/>
        <sz val="8"/>
        <rFont val="Arial"/>
        <family val="2"/>
      </rPr>
      <t>3</t>
    </r>
  </si>
  <si>
    <t>)</t>
  </si>
  <si>
    <t>R1</t>
  </si>
  <si>
    <t>Radius of Gyration,</t>
  </si>
  <si>
    <t>2 Lv / R1</t>
  </si>
  <si>
    <r>
      <t xml:space="preserve">When  2 Lv / R1 </t>
    </r>
    <r>
      <rPr>
        <b/>
        <sz val="8"/>
        <rFont val="돋움"/>
        <family val="3"/>
      </rPr>
      <t>≤</t>
    </r>
    <r>
      <rPr>
        <b/>
        <sz val="8"/>
        <rFont val="Arial"/>
        <family val="2"/>
      </rPr>
      <t xml:space="preserve"> Cc,</t>
    </r>
  </si>
  <si>
    <r>
      <t>When  2 Lv / R1 &gt;</t>
    </r>
    <r>
      <rPr>
        <b/>
        <sz val="8"/>
        <rFont val="Arial"/>
        <family val="2"/>
      </rPr>
      <t xml:space="preserve"> Cc,</t>
    </r>
  </si>
  <si>
    <r>
      <t>12 π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E2</t>
    </r>
  </si>
  <si>
    <r>
      <t>23 ( 2 Lv / R1 )</t>
    </r>
    <r>
      <rPr>
        <vertAlign val="superscript"/>
        <sz val="8"/>
        <rFont val="Arial"/>
        <family val="2"/>
      </rPr>
      <t>2</t>
    </r>
  </si>
  <si>
    <t>Sb</t>
  </si>
  <si>
    <t>M c1 / Ie</t>
  </si>
  <si>
    <t>Pe ho Ho y</t>
  </si>
  <si>
    <t>ci1</t>
  </si>
  <si>
    <t>co1</t>
  </si>
  <si>
    <t>ci2</t>
  </si>
  <si>
    <t>co2</t>
  </si>
  <si>
    <t>Ie</t>
  </si>
  <si>
    <t>F'e</t>
  </si>
  <si>
    <t>Judgement</t>
  </si>
  <si>
    <t>≤</t>
  </si>
  <si>
    <t>) x</t>
  </si>
  <si>
    <t>Orientation of Plate Dimensions and Stresses</t>
  </si>
  <si>
    <t>ScrA</t>
  </si>
  <si>
    <t>ScrB</t>
  </si>
  <si>
    <t>Where,</t>
  </si>
  <si>
    <t xml:space="preserve"> " ", External Pess.</t>
  </si>
  <si>
    <t>Column</t>
  </si>
  <si>
    <t>End P.</t>
  </si>
  <si>
    <t>Long Side</t>
  </si>
  <si>
    <t>Short Side</t>
  </si>
  <si>
    <t>h</t>
  </si>
  <si>
    <t>ho</t>
  </si>
  <si>
    <t>t2</t>
  </si>
  <si>
    <t>H</t>
  </si>
  <si>
    <t>Ho</t>
  </si>
  <si>
    <t>t1</t>
  </si>
  <si>
    <t>t5</t>
  </si>
  <si>
    <t>End Plate Thick</t>
  </si>
  <si>
    <t>Lv</t>
  </si>
  <si>
    <t>Sy</t>
  </si>
  <si>
    <r>
      <t xml:space="preserve">(  </t>
    </r>
    <r>
      <rPr>
        <b/>
        <sz val="8"/>
        <rFont val="Arial"/>
        <family val="2"/>
      </rPr>
      <t>ASME Fig. 13-14 (b)</t>
    </r>
    <r>
      <rPr>
        <sz val="8"/>
        <rFont val="Arial"/>
        <family val="2"/>
      </rPr>
      <t xml:space="preserve">  )</t>
    </r>
  </si>
  <si>
    <t>External Press.</t>
  </si>
  <si>
    <t>Pe</t>
  </si>
  <si>
    <t>mm</t>
  </si>
  <si>
    <t>Design Data</t>
  </si>
  <si>
    <t>2( t1 Ho + t2 ho)</t>
  </si>
  <si>
    <r>
      <t>( 2 Lv / R1 )</t>
    </r>
    <r>
      <rPr>
        <vertAlign val="superscript"/>
        <sz val="8"/>
        <rFont val="Arial"/>
        <family val="2"/>
      </rPr>
      <t>2</t>
    </r>
  </si>
  <si>
    <t>(</t>
  </si>
  <si>
    <t>3( 2Lv / R1 )</t>
  </si>
  <si>
    <r>
      <t>( 2Lv / R1 )</t>
    </r>
    <r>
      <rPr>
        <vertAlign val="superscript"/>
        <sz val="8"/>
        <rFont val="Arial"/>
        <family val="2"/>
      </rPr>
      <t>3</t>
    </r>
  </si>
  <si>
    <t>(2 x</t>
  </si>
  <si>
    <t>2 x</t>
  </si>
  <si>
    <t>2006.  9.  25.</t>
  </si>
  <si>
    <t>2006.  9.  25.</t>
  </si>
  <si>
    <t>07. 7. 15.</t>
  </si>
  <si>
    <t>06.  9.  25.</t>
  </si>
  <si>
    <t>Originally Prepared.</t>
  </si>
  <si>
    <t>External Pressure included.</t>
  </si>
  <si>
    <t xml:space="preserve"> Doc. No.</t>
  </si>
  <si>
    <t xml:space="preserve"> Date</t>
  </si>
  <si>
    <t xml:space="preserve"> Revision</t>
  </si>
  <si>
    <t xml:space="preserve"> Sheet No.</t>
  </si>
  <si>
    <t>:</t>
  </si>
  <si>
    <t>S T R E N G T H     C A L C U L A T I O N</t>
  </si>
  <si>
    <t>2019.  7.  15.</t>
  </si>
  <si>
    <t>:</t>
  </si>
  <si>
    <t>A 516-70</t>
  </si>
  <si>
    <t>Flat Bar</t>
  </si>
  <si>
    <t>***</t>
  </si>
  <si>
    <t>Single Partition Plate</t>
  </si>
  <si>
    <t>Unreinforced</t>
  </si>
  <si>
    <t>Stiffened or Stayed</t>
  </si>
  <si>
    <t>Lv</t>
  </si>
  <si>
    <t>t5</t>
  </si>
  <si>
    <t>I2 / I1 x α</t>
  </si>
  <si>
    <t>℃</t>
  </si>
  <si>
    <t>H E A D E R     B O X</t>
  </si>
  <si>
    <t>Header Box Parameter</t>
  </si>
  <si>
    <t>Header Box Length</t>
  </si>
  <si>
    <t>t1</t>
  </si>
  <si>
    <t>Side Plate</t>
  </si>
  <si>
    <t xml:space="preserve"> Top Plate</t>
  </si>
  <si>
    <t>Side P.</t>
  </si>
  <si>
    <t xml:space="preserve">  are for corroded cond.</t>
  </si>
  <si>
    <r>
      <t xml:space="preserve">* Values in </t>
    </r>
    <r>
      <rPr>
        <b/>
        <sz val="8"/>
        <color indexed="10"/>
        <rFont val="Arial"/>
        <family val="2"/>
      </rPr>
      <t>red</t>
    </r>
    <r>
      <rPr>
        <sz val="8"/>
        <rFont val="Arial"/>
        <family val="2"/>
      </rPr>
      <t xml:space="preserve"> color</t>
    </r>
  </si>
  <si>
    <t>Distance from Neutral Axis to Extreme Fiber</t>
  </si>
  <si>
    <t>* where i means Inside, o means Outside</t>
  </si>
  <si>
    <t>Part</t>
  </si>
  <si>
    <t>t2=  t22</t>
  </si>
  <si>
    <t>t2&lt;&gt;t22</t>
  </si>
  <si>
    <t>Cover Type</t>
  </si>
  <si>
    <t>UG-34 (c) (3) in ASME Sec. VIII Div. 1</t>
  </si>
  <si>
    <t>Z</t>
  </si>
  <si>
    <t>=</t>
  </si>
  <si>
    <t>-</t>
  </si>
  <si>
    <t>/</t>
  </si>
  <si>
    <t>=</t>
  </si>
  <si>
    <t>tr</t>
  </si>
  <si>
    <t>C</t>
  </si>
  <si>
    <t>P</t>
  </si>
  <si>
    <t>E</t>
  </si>
  <si>
    <t>CA</t>
  </si>
  <si>
    <t>Tube Pitch</t>
  </si>
  <si>
    <t>( p - d ) / p</t>
  </si>
  <si>
    <t xml:space="preserve"> Ligament Efficiency</t>
  </si>
  <si>
    <t xml:space="preserve">Max. &gt; </t>
  </si>
  <si>
    <t>Allowable Stress</t>
  </si>
  <si>
    <t>Stress Ratio</t>
  </si>
  <si>
    <t>Highest Stess</t>
  </si>
  <si>
    <t>mm</t>
  </si>
  <si>
    <r>
      <t xml:space="preserve">for </t>
    </r>
    <r>
      <rPr>
        <b/>
        <sz val="8"/>
        <rFont val="Arial"/>
        <family val="2"/>
      </rPr>
      <t>Ext. Press.</t>
    </r>
  </si>
  <si>
    <t>" N "</t>
  </si>
  <si>
    <t>" M1 "</t>
  </si>
  <si>
    <t>:</t>
  </si>
  <si>
    <t>Membrane stress</t>
  </si>
  <si>
    <t>/ 2 /</t>
  </si>
  <si>
    <t>(Sb)N</t>
  </si>
  <si>
    <t>P  c</t>
  </si>
  <si>
    <t>-1.5 H^2 + h^2  (</t>
  </si>
  <si>
    <r>
      <t xml:space="preserve">1 + </t>
    </r>
    <r>
      <rPr>
        <sz val="8"/>
        <rFont val="돋움"/>
        <family val="3"/>
      </rPr>
      <t>α</t>
    </r>
    <r>
      <rPr>
        <sz val="8"/>
        <rFont val="Arial"/>
        <family val="2"/>
      </rPr>
      <t>^2 K</t>
    </r>
  </si>
  <si>
    <t>12  I1</t>
  </si>
  <si>
    <t>(Sb)QS</t>
  </si>
  <si>
    <t>(Sb)M</t>
  </si>
  <si>
    <t>-1.5  +</t>
  </si>
  <si>
    <t>-1.5 +</t>
  </si>
  <si>
    <t>(Sb)QL</t>
  </si>
  <si>
    <t>x S</t>
  </si>
  <si>
    <t xml:space="preserve">Max. &gt; </t>
  </si>
  <si>
    <t>StM</t>
  </si>
  <si>
    <t>Ratio, Vessel Length / h andr H</t>
  </si>
  <si>
    <t>Tube OD</t>
  </si>
  <si>
    <t>Hole Dia.</t>
  </si>
  <si>
    <t>Plug</t>
  </si>
  <si>
    <t>Tube</t>
  </si>
  <si>
    <t xml:space="preserve"> Project</t>
  </si>
  <si>
    <t xml:space="preserve"> Client</t>
  </si>
  <si>
    <t xml:space="preserve"> Contractor</t>
  </si>
  <si>
    <t>2019.   7.   15.</t>
  </si>
  <si>
    <t>Required Tube Plate Thickness</t>
  </si>
  <si>
    <t>UG-34 (c) (3) in ASME Sec. VIII Div. 1</t>
  </si>
  <si>
    <t xml:space="preserve"> Service of Unit</t>
  </si>
  <si>
    <t>for</t>
  </si>
  <si>
    <t>Removable Header</t>
  </si>
  <si>
    <t>tr</t>
  </si>
  <si>
    <t>Z</t>
  </si>
  <si>
    <t>C</t>
  </si>
  <si>
    <t>P</t>
  </si>
  <si>
    <t>/  (</t>
  </si>
  <si>
    <t>D E S I G N     D A T A</t>
  </si>
  <si>
    <t>H E A D E R     B O X     D A T A</t>
  </si>
  <si>
    <t>&gt;</t>
  </si>
  <si>
    <t>C.S. &amp; Low-alloy</t>
  </si>
  <si>
    <t>High-alloy</t>
  </si>
  <si>
    <t>plate</t>
  </si>
  <si>
    <t>Tubesheet</t>
  </si>
  <si>
    <t xml:space="preserve"> Material</t>
  </si>
  <si>
    <t>Plug Sheet</t>
  </si>
  <si>
    <t xml:space="preserve"> Header Height, Inside</t>
  </si>
  <si>
    <t>Top, Bottom, End Plate</t>
  </si>
  <si>
    <t xml:space="preserve"> Header Depth, Inside</t>
  </si>
  <si>
    <t>Pass Partition Plate</t>
  </si>
  <si>
    <t xml:space="preserve"> Header Length</t>
  </si>
  <si>
    <t>Removable Cover Plate</t>
  </si>
  <si>
    <t>S T R E N G T H     C A L C U L A T I O N     of     F L A N G E D     C O V E R     P L A T E</t>
  </si>
  <si>
    <t>Min. Bolt Size</t>
  </si>
  <si>
    <t>tc</t>
  </si>
  <si>
    <t>tf</t>
  </si>
  <si>
    <t>Min, recommended</t>
  </si>
  <si>
    <t>for Through Bolt</t>
  </si>
  <si>
    <t>Min. Bolt Spacing</t>
  </si>
  <si>
    <t>hg</t>
  </si>
  <si>
    <t>W</t>
  </si>
  <si>
    <t>wf</t>
  </si>
  <si>
    <t>5/8"</t>
  </si>
  <si>
    <t>3/4"</t>
  </si>
  <si>
    <t>1 3/8"</t>
  </si>
  <si>
    <t>1 1/2"</t>
  </si>
  <si>
    <t>1 5/8"</t>
  </si>
  <si>
    <t>1 3/4"</t>
  </si>
  <si>
    <t>1 7/8"</t>
  </si>
  <si>
    <t>2"</t>
  </si>
  <si>
    <t>X</t>
  </si>
  <si>
    <t>G</t>
  </si>
  <si>
    <t>API 7.1.6.3.2,  Plug Hole Dia.</t>
  </si>
  <si>
    <t>Min.</t>
  </si>
  <si>
    <t>&lt;-</t>
  </si>
  <si>
    <t>Tube OD +</t>
  </si>
  <si>
    <t>Metric</t>
  </si>
  <si>
    <t>All C.S. and low-alloy steel headers shall be subject to PWHT.</t>
  </si>
  <si>
    <t>Bs</t>
  </si>
  <si>
    <t>M20</t>
  </si>
  <si>
    <t>Gasket</t>
  </si>
  <si>
    <t>Welded tube-to-tubesheets joint is excluded from PWHT,</t>
  </si>
  <si>
    <t>Gl</t>
  </si>
  <si>
    <t>Confined</t>
  </si>
  <si>
    <t>API 9.3.2.1,  Tube Hole Grooving for Expanded Joints</t>
  </si>
  <si>
    <t>Spiral W.,SUS</t>
  </si>
  <si>
    <t>for tubesheets thickness</t>
  </si>
  <si>
    <t>≥</t>
  </si>
  <si>
    <t>Basic Gasket Seating Width</t>
  </si>
  <si>
    <t>Minimum required Bolt Load for Initial Gasket Seating per Bolt Pitch</t>
  </si>
  <si>
    <t>1.5  ~  9 mm</t>
  </si>
  <si>
    <t>Minimum required Bolt Load for Operating Condition per Bolt Pitch</t>
  </si>
  <si>
    <t>Required Cross-sectional Area of each Bolt</t>
  </si>
  <si>
    <t>Maximum available Load per Bolt</t>
  </si>
  <si>
    <t>Minimum required Gasket Width</t>
  </si>
  <si>
    <t>/   (</t>
  </si>
  <si>
    <t>Flange Design Bolt Load per Bolt</t>
  </si>
  <si>
    <t>) / 2</t>
  </si>
  <si>
    <t>Cover Plate Parameter</t>
  </si>
  <si>
    <t>, max</t>
  </si>
  <si>
    <t>Required Cover Plate Thickness</t>
  </si>
  <si>
    <t>Conatant</t>
  </si>
  <si>
    <t>Maximum Bending Moment at Flange End due to Bolt Load</t>
  </si>
  <si>
    <t>Moment of Inertia of Effective Flange Section about Vert. Centerline</t>
  </si>
  <si>
    <t>Flange to Plate JE</t>
  </si>
  <si>
    <t>mm4</t>
  </si>
  <si>
    <t>Section Modulus of Effective Flange Section about Vert. Centerline</t>
  </si>
  <si>
    <t>mm3</t>
  </si>
  <si>
    <t>Cross-sectional Area of Effective Flange Section</t>
  </si>
  <si>
    <t>mm2</t>
  </si>
  <si>
    <t>Maximum Bending Stress in the Flange Section</t>
  </si>
  <si>
    <t>E   )</t>
  </si>
  <si>
    <t>Maximum Resultant Stress in the Flange</t>
  </si>
  <si>
    <t>Flange Allowable Stress</t>
  </si>
  <si>
    <t>*2)</t>
  </si>
  <si>
    <r>
      <t>D A T A     S H E E T     f o r</t>
    </r>
    <r>
      <rPr>
        <b/>
        <sz val="10"/>
        <color indexed="12"/>
        <rFont val="Arial"/>
        <family val="2"/>
      </rPr>
      <t xml:space="preserve">     H E A D E R     B O X</t>
    </r>
  </si>
  <si>
    <t>DS - HB - 100</t>
  </si>
  <si>
    <t xml:space="preserve"> Code</t>
  </si>
  <si>
    <t xml:space="preserve"> Design Press.</t>
  </si>
  <si>
    <t xml:space="preserve"> Design Temp.</t>
  </si>
  <si>
    <t xml:space="preserve"> Corrosion Allowance</t>
  </si>
  <si>
    <t>CA</t>
  </si>
  <si>
    <t>Header Box</t>
  </si>
  <si>
    <t>Header Flange</t>
  </si>
  <si>
    <t xml:space="preserve">API 7.1.6.1.6 </t>
  </si>
  <si>
    <r>
      <t xml:space="preserve">Table 1, </t>
    </r>
    <r>
      <rPr>
        <b/>
        <sz val="8"/>
        <rFont val="Arial"/>
        <family val="2"/>
      </rPr>
      <t>Min. Nominal Thickness</t>
    </r>
    <r>
      <rPr>
        <sz val="8"/>
        <rFont val="Arial"/>
        <family val="2"/>
      </rPr>
      <t xml:space="preserve">, incl. C.A. </t>
    </r>
    <r>
      <rPr>
        <b/>
        <sz val="8"/>
        <rFont val="Arial"/>
        <family val="2"/>
      </rPr>
      <t>3</t>
    </r>
    <r>
      <rPr>
        <sz val="8"/>
        <rFont val="Arial"/>
        <family val="2"/>
      </rPr>
      <t xml:space="preserve"> mm</t>
    </r>
  </si>
  <si>
    <t xml:space="preserve"> Type</t>
  </si>
  <si>
    <t>Thickness</t>
  </si>
  <si>
    <t>Sc</t>
  </si>
  <si>
    <t>Sf</t>
  </si>
  <si>
    <t xml:space="preserve">API 7.1.6.2.8 </t>
  </si>
  <si>
    <t>for Stud Bolt</t>
  </si>
  <si>
    <t xml:space="preserve">API 7.1.6.2.10 </t>
  </si>
  <si>
    <t>7/8"</t>
  </si>
  <si>
    <t>1"</t>
  </si>
  <si>
    <t>1 1/8"</t>
  </si>
  <si>
    <t>1 1/4"</t>
  </si>
  <si>
    <t>b1</t>
  </si>
  <si>
    <t>b2</t>
  </si>
  <si>
    <t>Groove</t>
  </si>
  <si>
    <t>Bolt</t>
  </si>
  <si>
    <t>Depth</t>
  </si>
  <si>
    <t>Gasket Factor</t>
  </si>
  <si>
    <t>API 9.2,  PWHT</t>
  </si>
  <si>
    <t>dgv</t>
  </si>
  <si>
    <t>m</t>
  </si>
  <si>
    <t>Seating Press.</t>
  </si>
  <si>
    <t>Ab</t>
  </si>
  <si>
    <t>Width</t>
  </si>
  <si>
    <t>wgv</t>
  </si>
  <si>
    <t>wg</t>
  </si>
  <si>
    <t>tg</t>
  </si>
  <si>
    <t>Sa</t>
  </si>
  <si>
    <t>＜</t>
  </si>
  <si>
    <t>Bolting Requirements</t>
  </si>
  <si>
    <t>bo</t>
  </si>
  <si>
    <t>Effective Gasket Seating Width</t>
  </si>
  <si>
    <t>b</t>
  </si>
  <si>
    <t>API 9.3.3.3,  Tube End Extension beyond Tubesheet</t>
  </si>
  <si>
    <t>-&gt; Selected</t>
  </si>
  <si>
    <t>Wm2</t>
  </si>
  <si>
    <t>Wm1</t>
  </si>
  <si>
    <t>Am</t>
  </si>
  <si>
    <t>W1</t>
  </si>
  <si>
    <t>wgmin</t>
  </si>
  <si>
    <t>Wm</t>
  </si>
  <si>
    <t>Cover Plate Design</t>
  </si>
  <si>
    <t>tcr</t>
  </si>
  <si>
    <t>I</t>
  </si>
  <si>
    <t>A</t>
  </si>
  <si>
    <t>Fb</t>
  </si>
  <si>
    <t>Maximum Direct Stress in the Flange Section</t>
  </si>
  <si>
    <t>Fd</t>
  </si>
  <si>
    <t>Fr</t>
  </si>
  <si>
    <r>
      <t xml:space="preserve"> </t>
    </r>
    <r>
      <rPr>
        <b/>
        <u val="single"/>
        <sz val="8"/>
        <rFont val="Arial"/>
        <family val="2"/>
      </rPr>
      <t>Notes</t>
    </r>
  </si>
  <si>
    <t>*1)</t>
  </si>
  <si>
    <t>*3)</t>
  </si>
  <si>
    <t>NTES</t>
  </si>
  <si>
    <t xml:space="preserve">Narai Thermal Engineering Services </t>
  </si>
  <si>
    <t>Air Cooled Heat Exchanger</t>
  </si>
  <si>
    <t>H - 100</t>
  </si>
  <si>
    <t>Job No.</t>
  </si>
  <si>
    <t>Later</t>
  </si>
  <si>
    <t>Cover Plate</t>
  </si>
  <si>
    <t>Top / Bottom Plate</t>
  </si>
  <si>
    <t>Partition Plate</t>
  </si>
  <si>
    <t>End Cover</t>
  </si>
  <si>
    <t>Tube Plate</t>
  </si>
  <si>
    <t>Box</t>
  </si>
  <si>
    <t>Staggered</t>
  </si>
  <si>
    <t>Pitch, T/L/Diag.</t>
  </si>
  <si>
    <t xml:space="preserve"> Tube Pattern / Tube Pitch</t>
  </si>
  <si>
    <t xml:space="preserve"> Tube OD</t>
  </si>
  <si>
    <t>19.  7.  15.</t>
  </si>
  <si>
    <t>19.  7.  15.</t>
  </si>
  <si>
    <t>Rectangular PV</t>
  </si>
  <si>
    <t>-&gt;</t>
  </si>
  <si>
    <t>Header Box</t>
  </si>
  <si>
    <t>Supplmented</t>
  </si>
  <si>
    <t>Air Cooled H/E</t>
  </si>
  <si>
    <t>Later</t>
  </si>
  <si>
    <t>kg/cm2.g</t>
  </si>
  <si>
    <t>KS</t>
  </si>
  <si>
    <t>SB 410</t>
  </si>
  <si>
    <t>Removable Cover</t>
  </si>
  <si>
    <t>S45C</t>
  </si>
  <si>
    <t>Hbox_data</t>
  </si>
  <si>
    <t>Input Data for Header Box</t>
  </si>
  <si>
    <t>Others</t>
  </si>
  <si>
    <t>Calculation Sheets</t>
  </si>
  <si>
    <t>Reviewed and Refined.</t>
  </si>
  <si>
    <t>18.  2.  10.</t>
  </si>
  <si>
    <t>Converted.</t>
  </si>
</sst>
</file>

<file path=xl/styles.xml><?xml version="1.0" encoding="utf-8"?>
<styleSheet xmlns="http://schemas.openxmlformats.org/spreadsheetml/2006/main">
  <numFmts count="7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0.000"/>
    <numFmt numFmtId="179" formatCode="0.0000"/>
    <numFmt numFmtId="180" formatCode="0.000_ "/>
    <numFmt numFmtId="181" formatCode="0.00_ "/>
    <numFmt numFmtId="182" formatCode="0.0_ "/>
    <numFmt numFmtId="183" formatCode="#,##0_);[Red]\(#,##0\)"/>
    <numFmt numFmtId="184" formatCode="0_ "/>
    <numFmt numFmtId="185" formatCode="0;_"/>
    <numFmt numFmtId="186" formatCode="0;_"/>
    <numFmt numFmtId="187" formatCode="0.00000_ "/>
    <numFmt numFmtId="188" formatCode="0.0000_ "/>
    <numFmt numFmtId="189" formatCode="mm&quot;월&quot;\ dd&quot;일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 &quot;\&quot;* #,##0_ ;_ &quot;\&quot;* \-#,##0_ ;_ &quot;\&quot;* &quot;-&quot;_ ;_ @_ "/>
    <numFmt numFmtId="195" formatCode="_ * #,##0_ ;_ * \-#,##0_ ;_ * &quot;-&quot;_ ;_ @_ "/>
    <numFmt numFmtId="196" formatCode="_ &quot;\&quot;* #,##0.00_ ;_ &quot;\&quot;* \-#,##0.00_ ;_ &quot;\&quot;* &quot;-&quot;??_ ;_ @_ "/>
    <numFmt numFmtId="197" formatCode="_ * #,##0.00_ ;_ * \-#,##0.00_ ;_ * &quot;-&quot;??_ ;_ @_ "/>
    <numFmt numFmtId="198" formatCode="&quot;\&quot;#,##0;&quot;\&quot;&quot;\&quot;&quot;\&quot;&quot;\&quot;&quot;\&quot;&quot;\&quot;&quot;\&quot;&quot;\&quot;\-#,##0"/>
    <numFmt numFmtId="199" formatCode="&quot;\&quot;#,##0.00;&quot;\&quot;&quot;\&quot;&quot;\&quot;&quot;\&quot;&quot;\&quot;&quot;\&quot;&quot;\&quot;&quot;\&quot;\-#,##0.00"/>
    <numFmt numFmtId="200" formatCode="[$-412]AM/PM\ h:mm:ss"/>
    <numFmt numFmtId="201" formatCode="0.0000000"/>
    <numFmt numFmtId="202" formatCode="0.000000"/>
    <numFmt numFmtId="203" formatCode="0.00000"/>
    <numFmt numFmtId="204" formatCode="0.00000000"/>
    <numFmt numFmtId="205" formatCode="#,##0.0_ "/>
    <numFmt numFmtId="206" formatCode="0;_瀀"/>
    <numFmt numFmtId="207" formatCode="0.0;_瀀"/>
    <numFmt numFmtId="208" formatCode="0.000000_ "/>
    <numFmt numFmtId="209" formatCode="0;_頀"/>
    <numFmt numFmtId="210" formatCode="0;_뀀"/>
    <numFmt numFmtId="211" formatCode="0;_鐀"/>
    <numFmt numFmtId="212" formatCode="0;_ "/>
    <numFmt numFmtId="213" formatCode="0;_"/>
    <numFmt numFmtId="214" formatCode="0;_ꐀ"/>
    <numFmt numFmtId="215" formatCode="0;_ﰀ"/>
    <numFmt numFmtId="216" formatCode="0;_Ⰰ"/>
    <numFmt numFmtId="217" formatCode="#,##0.0_);[Red]\(#,##0.0\)"/>
    <numFmt numFmtId="218" formatCode="#,##0.00_);[Red]\(#,##0.00\)"/>
    <numFmt numFmtId="219" formatCode="0.0000000_ "/>
    <numFmt numFmtId="220" formatCode="0.00000000_ "/>
    <numFmt numFmtId="221" formatCode="0;_䐀"/>
    <numFmt numFmtId="222" formatCode="0;_⠀"/>
    <numFmt numFmtId="223" formatCode="0.0;_⠀"/>
    <numFmt numFmtId="224" formatCode="0;_鰀"/>
    <numFmt numFmtId="225" formatCode="0.0;_鰀"/>
    <numFmt numFmtId="226" formatCode="0.0_);[Red]\(0.0\)"/>
    <numFmt numFmtId="227" formatCode="0;_䀀"/>
    <numFmt numFmtId="228" formatCode="0;_가"/>
    <numFmt numFmtId="229" formatCode="0.00_);[Red]\(0.00\)"/>
    <numFmt numFmtId="230" formatCode="0.0;_�"/>
    <numFmt numFmtId="231" formatCode="0;_䰀"/>
    <numFmt numFmtId="232" formatCode="0;_ఀ"/>
    <numFmt numFmtId="233" formatCode="0.0E+00"/>
    <numFmt numFmtId="234" formatCode="0.00;_က"/>
    <numFmt numFmtId="235" formatCode="0.0;_Ѐ"/>
  </numFmts>
  <fonts count="79">
    <font>
      <sz val="11"/>
      <name val="돋움"/>
      <family val="3"/>
    </font>
    <font>
      <sz val="8"/>
      <name val="돋움"/>
      <family val="3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돋움"/>
      <family val="3"/>
    </font>
    <font>
      <sz val="7"/>
      <color indexed="10"/>
      <name val="Arial"/>
      <family val="2"/>
    </font>
    <font>
      <b/>
      <u val="single"/>
      <sz val="8"/>
      <name val="Arial"/>
      <family val="2"/>
    </font>
    <font>
      <b/>
      <sz val="8"/>
      <color indexed="1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b/>
      <sz val="9"/>
      <color indexed="12"/>
      <name val="Arial"/>
      <family val="2"/>
    </font>
    <font>
      <b/>
      <sz val="7.5"/>
      <color indexed="12"/>
      <name val="Arial"/>
      <family val="2"/>
    </font>
    <font>
      <sz val="12"/>
      <name val="뼻뮝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0"/>
      <name val="Arial"/>
      <family val="2"/>
    </font>
    <font>
      <b/>
      <sz val="14"/>
      <name val="Arial"/>
      <family val="2"/>
    </font>
    <font>
      <sz val="9"/>
      <color indexed="12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sz val="9"/>
      <name val="돋움"/>
      <family val="3"/>
    </font>
    <font>
      <b/>
      <sz val="9"/>
      <color indexed="10"/>
      <name val="Arial"/>
      <family val="2"/>
    </font>
    <font>
      <b/>
      <sz val="9"/>
      <color indexed="12"/>
      <name val="돋움"/>
      <family val="3"/>
    </font>
    <font>
      <sz val="9"/>
      <name val="돋움"/>
      <family val="3"/>
    </font>
    <font>
      <vertAlign val="superscript"/>
      <sz val="8"/>
      <name val="돋움"/>
      <family val="3"/>
    </font>
    <font>
      <vertAlign val="superscript"/>
      <sz val="8"/>
      <name val="Arial"/>
      <family val="2"/>
    </font>
    <font>
      <vertAlign val="subscript"/>
      <sz val="8"/>
      <name val="Arial"/>
      <family val="2"/>
    </font>
    <font>
      <b/>
      <sz val="7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u val="single"/>
      <sz val="8"/>
      <name val="Arial"/>
      <family val="2"/>
    </font>
    <font>
      <b/>
      <u val="single"/>
      <sz val="8"/>
      <color indexed="12"/>
      <name val="Arial"/>
      <family val="2"/>
    </font>
    <font>
      <b/>
      <sz val="11"/>
      <name val="돋움"/>
      <family val="3"/>
    </font>
    <font>
      <sz val="11"/>
      <color indexed="8"/>
      <name val="Calibri"/>
      <family val="2"/>
    </font>
    <font>
      <sz val="11"/>
      <color indexed="8"/>
      <name val="맑은 고딕"/>
      <family val="3"/>
    </font>
    <font>
      <sz val="11"/>
      <color indexed="9"/>
      <name val="Calibri"/>
      <family val="2"/>
    </font>
    <font>
      <sz val="11"/>
      <color indexed="9"/>
      <name val="맑은 고딕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Courier New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6"/>
      <color indexed="12"/>
      <name val="Arial"/>
      <family val="2"/>
    </font>
    <font>
      <u val="single"/>
      <sz val="8"/>
      <color indexed="12"/>
      <name val="Arial"/>
      <family val="2"/>
    </font>
    <font>
      <b/>
      <u val="single"/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3" fillId="3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195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198" fontId="46" fillId="0" borderId="0" applyFont="0" applyFill="0" applyBorder="0" applyAlignment="0" applyProtection="0"/>
    <xf numFmtId="199" fontId="46" fillId="0" borderId="0" applyFont="0" applyFill="0" applyBorder="0" applyAlignment="0" applyProtection="0"/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7" borderId="1" applyNumberFormat="0" applyAlignment="0" applyProtection="0"/>
    <xf numFmtId="0" fontId="54" fillId="0" borderId="6" applyNumberFormat="0" applyFill="0" applyAlignment="0" applyProtection="0"/>
    <xf numFmtId="0" fontId="55" fillId="22" borderId="0" applyNumberFormat="0" applyBorder="0" applyAlignment="0" applyProtection="0"/>
    <xf numFmtId="0" fontId="46" fillId="0" borderId="0">
      <alignment/>
      <protection/>
    </xf>
    <xf numFmtId="0" fontId="46" fillId="23" borderId="7" applyNumberFormat="0" applyFont="0" applyAlignment="0" applyProtection="0"/>
    <xf numFmtId="0" fontId="56" fillId="20" borderId="8" applyNumberFormat="0" applyAlignment="0" applyProtection="0"/>
    <xf numFmtId="0" fontId="3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13" fillId="0" borderId="10" applyBorder="0">
      <alignment/>
      <protection/>
    </xf>
    <xf numFmtId="0" fontId="59" fillId="0" borderId="0" applyNumberFormat="0" applyFill="0" applyBorder="0" applyAlignment="0" applyProtection="0"/>
    <xf numFmtId="0" fontId="60" fillId="0" borderId="0">
      <alignment/>
      <protection/>
    </xf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0" borderId="1" applyNumberFormat="0" applyAlignment="0" applyProtection="0"/>
    <xf numFmtId="0" fontId="63" fillId="3" borderId="0" applyNumberFormat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64" fillId="22" borderId="0" applyNumberFormat="0" applyBorder="0" applyAlignment="0" applyProtection="0"/>
    <xf numFmtId="0" fontId="18" fillId="0" borderId="0">
      <alignment/>
      <protection/>
    </xf>
    <xf numFmtId="0" fontId="65" fillId="0" borderId="0" applyNumberFormat="0" applyFill="0" applyBorder="0" applyAlignment="0" applyProtection="0"/>
    <xf numFmtId="0" fontId="6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7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4" borderId="0" applyNumberFormat="0" applyBorder="0" applyAlignment="0" applyProtection="0"/>
    <xf numFmtId="0" fontId="75" fillId="20" borderId="8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46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49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76" fontId="3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49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/>
    </xf>
    <xf numFmtId="184" fontId="3" fillId="0" borderId="0" xfId="0" applyNumberFormat="1" applyFont="1" applyAlignment="1">
      <alignment/>
    </xf>
    <xf numFmtId="0" fontId="4" fillId="0" borderId="0" xfId="0" applyFont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3" fillId="0" borderId="26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9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3" fillId="0" borderId="16" xfId="0" applyFont="1" applyBorder="1" applyAlignment="1">
      <alignment/>
    </xf>
    <xf numFmtId="49" fontId="3" fillId="0" borderId="0" xfId="0" applyNumberFormat="1" applyFont="1" applyAlignment="1">
      <alignment/>
    </xf>
    <xf numFmtId="0" fontId="4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3" fillId="20" borderId="0" xfId="0" applyFont="1" applyFill="1" applyBorder="1" applyAlignment="1">
      <alignment horizontal="left"/>
    </xf>
    <xf numFmtId="0" fontId="23" fillId="20" borderId="0" xfId="0" applyFont="1" applyFill="1" applyAlignment="1">
      <alignment horizontal="left"/>
    </xf>
    <xf numFmtId="0" fontId="23" fillId="2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23" fillId="20" borderId="0" xfId="0" applyFont="1" applyFill="1" applyAlignment="1">
      <alignment/>
    </xf>
    <xf numFmtId="0" fontId="16" fillId="2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9" fontId="7" fillId="0" borderId="0" xfId="0" applyNumberFormat="1" applyFont="1" applyBorder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7" xfId="0" applyFont="1" applyBorder="1" applyAlignment="1">
      <alignment/>
    </xf>
    <xf numFmtId="0" fontId="23" fillId="2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23" fillId="20" borderId="0" xfId="0" applyFont="1" applyFill="1" applyBorder="1" applyAlignment="1">
      <alignment/>
    </xf>
    <xf numFmtId="0" fontId="8" fillId="0" borderId="0" xfId="0" applyFont="1" applyBorder="1" applyAlignment="1">
      <alignment horizontal="right"/>
    </xf>
    <xf numFmtId="0" fontId="8" fillId="20" borderId="0" xfId="0" applyFont="1" applyFill="1" applyBorder="1" applyAlignment="1">
      <alignment horizontal="left"/>
    </xf>
    <xf numFmtId="0" fontId="8" fillId="20" borderId="0" xfId="0" applyFont="1" applyFill="1" applyAlignment="1">
      <alignment horizontal="left"/>
    </xf>
    <xf numFmtId="0" fontId="8" fillId="20" borderId="0" xfId="0" applyFont="1" applyFill="1" applyAlignment="1">
      <alignment/>
    </xf>
    <xf numFmtId="0" fontId="8" fillId="20" borderId="0" xfId="0" applyFont="1" applyFill="1" applyAlignment="1">
      <alignment/>
    </xf>
    <xf numFmtId="0" fontId="7" fillId="20" borderId="0" xfId="0" applyFont="1" applyFill="1" applyBorder="1" applyAlignment="1">
      <alignment horizontal="left" vertical="center"/>
    </xf>
    <xf numFmtId="0" fontId="8" fillId="20" borderId="0" xfId="0" applyFont="1" applyFill="1" applyBorder="1" applyAlignment="1">
      <alignment/>
    </xf>
    <xf numFmtId="0" fontId="8" fillId="20" borderId="0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7" xfId="0" applyFont="1" applyBorder="1" applyAlignment="1">
      <alignment/>
    </xf>
    <xf numFmtId="0" fontId="12" fillId="0" borderId="0" xfId="0" applyFont="1" applyAlignment="1">
      <alignment/>
    </xf>
    <xf numFmtId="0" fontId="3" fillId="0" borderId="31" xfId="0" applyFont="1" applyBorder="1" applyAlignment="1">
      <alignment/>
    </xf>
    <xf numFmtId="0" fontId="3" fillId="0" borderId="29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34" fillId="0" borderId="15" xfId="0" applyFont="1" applyBorder="1" applyAlignment="1">
      <alignment vertical="center"/>
    </xf>
    <xf numFmtId="0" fontId="3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7" xfId="0" applyFont="1" applyBorder="1" applyAlignment="1">
      <alignment/>
    </xf>
    <xf numFmtId="0" fontId="4" fillId="0" borderId="28" xfId="0" applyFont="1" applyBorder="1" applyAlignment="1">
      <alignment/>
    </xf>
    <xf numFmtId="181" fontId="3" fillId="0" borderId="0" xfId="0" applyNumberFormat="1" applyFont="1" applyAlignment="1">
      <alignment/>
    </xf>
    <xf numFmtId="0" fontId="3" fillId="0" borderId="28" xfId="0" applyFont="1" applyBorder="1" applyAlignment="1">
      <alignment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76" fontId="6" fillId="0" borderId="1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3" fillId="0" borderId="19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22" xfId="0" applyFont="1" applyBorder="1" applyAlignment="1">
      <alignment horizontal="left"/>
    </xf>
    <xf numFmtId="0" fontId="76" fillId="0" borderId="0" xfId="0" applyFont="1" applyAlignment="1">
      <alignment horizontal="center"/>
    </xf>
    <xf numFmtId="0" fontId="34" fillId="0" borderId="13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4" fillId="0" borderId="17" xfId="0" applyFont="1" applyBorder="1" applyAlignment="1">
      <alignment horizont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/>
    </xf>
    <xf numFmtId="0" fontId="36" fillId="0" borderId="0" xfId="0" applyFont="1" applyAlignment="1">
      <alignment horizontal="right"/>
    </xf>
    <xf numFmtId="0" fontId="36" fillId="0" borderId="0" xfId="0" applyFont="1" applyAlignment="1">
      <alignment/>
    </xf>
    <xf numFmtId="176" fontId="3" fillId="0" borderId="13" xfId="0" applyNumberFormat="1" applyFont="1" applyBorder="1" applyAlignment="1">
      <alignment/>
    </xf>
    <xf numFmtId="0" fontId="77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6" fillId="0" borderId="0" xfId="0" applyNumberFormat="1" applyFont="1" applyFill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10" xfId="0" applyFont="1" applyBorder="1" applyAlignment="1">
      <alignment/>
    </xf>
    <xf numFmtId="0" fontId="77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7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/>
    </xf>
    <xf numFmtId="0" fontId="77" fillId="0" borderId="0" xfId="0" applyFont="1" applyAlignment="1">
      <alignment horizontal="left"/>
    </xf>
    <xf numFmtId="0" fontId="34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1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0" fontId="4" fillId="0" borderId="19" xfId="0" applyFont="1" applyBorder="1" applyAlignment="1">
      <alignment/>
    </xf>
    <xf numFmtId="0" fontId="6" fillId="0" borderId="20" xfId="0" applyNumberFormat="1" applyFont="1" applyFill="1" applyBorder="1" applyAlignment="1">
      <alignment horizontal="right"/>
    </xf>
    <xf numFmtId="49" fontId="4" fillId="0" borderId="24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34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78" fillId="0" borderId="0" xfId="0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176" fontId="5" fillId="0" borderId="13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21" fillId="0" borderId="11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6" fillId="0" borderId="3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30" xfId="0" applyNumberFormat="1" applyFont="1" applyBorder="1" applyAlignment="1">
      <alignment horizontal="center"/>
    </xf>
    <xf numFmtId="0" fontId="16" fillId="0" borderId="11" xfId="0" applyNumberFormat="1" applyFont="1" applyBorder="1" applyAlignment="1">
      <alignment horizontal="center"/>
    </xf>
    <xf numFmtId="0" fontId="16" fillId="0" borderId="32" xfId="0" applyNumberFormat="1" applyFont="1" applyBorder="1" applyAlignment="1">
      <alignment horizontal="center"/>
    </xf>
    <xf numFmtId="0" fontId="24" fillId="0" borderId="1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7" fillId="0" borderId="28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17" xfId="0" applyFont="1" applyBorder="1" applyAlignment="1">
      <alignment horizontal="center"/>
    </xf>
    <xf numFmtId="0" fontId="27" fillId="0" borderId="27" xfId="0" applyNumberFormat="1" applyFont="1" applyBorder="1" applyAlignment="1">
      <alignment horizontal="center"/>
    </xf>
    <xf numFmtId="0" fontId="27" fillId="0" borderId="17" xfId="0" applyNumberFormat="1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27" fillId="0" borderId="25" xfId="0" applyNumberFormat="1" applyFont="1" applyBorder="1" applyAlignment="1">
      <alignment horizontal="center"/>
    </xf>
    <xf numFmtId="0" fontId="27" fillId="0" borderId="13" xfId="0" applyNumberFormat="1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27" fillId="0" borderId="24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4" fillId="24" borderId="16" xfId="0" applyFont="1" applyFill="1" applyBorder="1" applyAlignment="1">
      <alignment horizontal="center"/>
    </xf>
    <xf numFmtId="0" fontId="4" fillId="24" borderId="2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176" fontId="4" fillId="0" borderId="12" xfId="0" applyNumberFormat="1" applyFont="1" applyBorder="1" applyAlignment="1">
      <alignment horizontal="right"/>
    </xf>
    <xf numFmtId="182" fontId="4" fillId="0" borderId="0" xfId="0" applyNumberFormat="1" applyFont="1" applyAlignment="1">
      <alignment horizontal="right"/>
    </xf>
    <xf numFmtId="0" fontId="5" fillId="0" borderId="13" xfId="0" applyFont="1" applyBorder="1" applyAlignment="1">
      <alignment horizontal="center"/>
    </xf>
    <xf numFmtId="0" fontId="21" fillId="0" borderId="3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181" fontId="6" fillId="0" borderId="13" xfId="0" applyNumberFormat="1" applyFont="1" applyBorder="1" applyAlignment="1">
      <alignment horizontal="center"/>
    </xf>
    <xf numFmtId="0" fontId="3" fillId="20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176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181" fontId="3" fillId="0" borderId="0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3" fillId="0" borderId="13" xfId="0" applyNumberFormat="1" applyFont="1" applyBorder="1" applyAlignment="1">
      <alignment horizontal="center"/>
    </xf>
    <xf numFmtId="0" fontId="3" fillId="0" borderId="3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4" fillId="0" borderId="15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right" vertical="center" textRotation="90"/>
    </xf>
    <xf numFmtId="0" fontId="7" fillId="0" borderId="0" xfId="0" applyFont="1" applyBorder="1" applyAlignment="1">
      <alignment horizontal="right" vertical="center" textRotation="90"/>
    </xf>
    <xf numFmtId="0" fontId="12" fillId="0" borderId="0" xfId="0" applyFont="1" applyBorder="1" applyAlignment="1">
      <alignment horizontal="center" vertical="center" textRotation="90"/>
    </xf>
    <xf numFmtId="176" fontId="4" fillId="0" borderId="0" xfId="0" applyNumberFormat="1" applyFont="1" applyBorder="1" applyAlignment="1">
      <alignment horizontal="right" vertical="center" textRotation="90"/>
    </xf>
    <xf numFmtId="0" fontId="4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3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76" fontId="3" fillId="0" borderId="17" xfId="0" applyNumberFormat="1" applyFont="1" applyBorder="1" applyAlignment="1">
      <alignment horizontal="center"/>
    </xf>
    <xf numFmtId="176" fontId="12" fillId="0" borderId="0" xfId="0" applyNumberFormat="1" applyFont="1" applyAlignment="1">
      <alignment horizontal="left" vertical="center" textRotation="90"/>
    </xf>
    <xf numFmtId="0" fontId="4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176" fontId="3" fillId="0" borderId="0" xfId="0" applyNumberFormat="1" applyFont="1" applyAlignment="1">
      <alignment horizontal="right" vertical="center" textRotation="90"/>
    </xf>
    <xf numFmtId="181" fontId="4" fillId="0" borderId="17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0" fillId="0" borderId="2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181" fontId="3" fillId="0" borderId="12" xfId="0" applyNumberFormat="1" applyFont="1" applyBorder="1" applyAlignment="1">
      <alignment horizontal="center"/>
    </xf>
    <xf numFmtId="181" fontId="3" fillId="0" borderId="23" xfId="0" applyNumberFormat="1" applyFont="1" applyBorder="1" applyAlignment="1">
      <alignment horizontal="center"/>
    </xf>
    <xf numFmtId="176" fontId="3" fillId="0" borderId="0" xfId="0" applyNumberFormat="1" applyFont="1" applyAlignment="1">
      <alignment horizontal="right"/>
    </xf>
    <xf numFmtId="181" fontId="3" fillId="0" borderId="0" xfId="0" applyNumberFormat="1" applyFont="1" applyAlignment="1">
      <alignment horizontal="right"/>
    </xf>
    <xf numFmtId="0" fontId="35" fillId="0" borderId="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10" fillId="0" borderId="16" xfId="0" applyFont="1" applyBorder="1" applyAlignment="1">
      <alignment horizontal="left"/>
    </xf>
    <xf numFmtId="0" fontId="4" fillId="0" borderId="3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176" fontId="3" fillId="0" borderId="37" xfId="0" applyNumberFormat="1" applyFont="1" applyBorder="1" applyAlignment="1">
      <alignment horizontal="center"/>
    </xf>
    <xf numFmtId="176" fontId="3" fillId="0" borderId="12" xfId="0" applyNumberFormat="1" applyFont="1" applyBorder="1" applyAlignment="1">
      <alignment horizontal="center"/>
    </xf>
    <xf numFmtId="176" fontId="3" fillId="0" borderId="38" xfId="0" applyNumberFormat="1" applyFont="1" applyBorder="1" applyAlignment="1">
      <alignment horizontal="center"/>
    </xf>
    <xf numFmtId="176" fontId="3" fillId="0" borderId="39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82" fontId="3" fillId="0" borderId="0" xfId="0" applyNumberFormat="1" applyFont="1" applyAlignment="1">
      <alignment horizontal="right" vertical="center" textRotation="90"/>
    </xf>
    <xf numFmtId="0" fontId="11" fillId="0" borderId="3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/>
    </xf>
    <xf numFmtId="176" fontId="3" fillId="0" borderId="0" xfId="0" applyNumberFormat="1" applyFont="1" applyAlignment="1">
      <alignment horizontal="center"/>
    </xf>
    <xf numFmtId="181" fontId="4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81" fontId="3" fillId="0" borderId="0" xfId="0" applyNumberFormat="1" applyFont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182" fontId="3" fillId="0" borderId="0" xfId="0" applyNumberFormat="1" applyFont="1" applyAlignment="1">
      <alignment horizontal="center"/>
    </xf>
    <xf numFmtId="182" fontId="3" fillId="0" borderId="0" xfId="0" applyNumberFormat="1" applyFont="1" applyBorder="1" applyAlignment="1">
      <alignment horizontal="right"/>
    </xf>
    <xf numFmtId="0" fontId="4" fillId="0" borderId="3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81" fontId="4" fillId="0" borderId="0" xfId="0" applyNumberFormat="1" applyFont="1" applyAlignment="1">
      <alignment horizontal="center"/>
    </xf>
    <xf numFmtId="182" fontId="3" fillId="0" borderId="0" xfId="0" applyNumberFormat="1" applyFont="1" applyBorder="1" applyAlignment="1">
      <alignment horizontal="right" vertical="center" textRotation="90"/>
    </xf>
    <xf numFmtId="0" fontId="0" fillId="0" borderId="16" xfId="0" applyBorder="1" applyAlignment="1">
      <alignment/>
    </xf>
    <xf numFmtId="0" fontId="0" fillId="0" borderId="29" xfId="0" applyBorder="1" applyAlignment="1">
      <alignment/>
    </xf>
    <xf numFmtId="181" fontId="3" fillId="0" borderId="15" xfId="0" applyNumberFormat="1" applyFont="1" applyBorder="1" applyAlignment="1">
      <alignment horizontal="center"/>
    </xf>
    <xf numFmtId="181" fontId="3" fillId="0" borderId="20" xfId="0" applyNumberFormat="1" applyFont="1" applyBorder="1" applyAlignment="1">
      <alignment horizontal="center"/>
    </xf>
    <xf numFmtId="181" fontId="3" fillId="0" borderId="0" xfId="0" applyNumberFormat="1" applyFont="1" applyBorder="1" applyAlignment="1">
      <alignment horizontal="center"/>
    </xf>
    <xf numFmtId="176" fontId="3" fillId="0" borderId="30" xfId="0" applyNumberFormat="1" applyFont="1" applyBorder="1" applyAlignment="1">
      <alignment horizontal="center"/>
    </xf>
    <xf numFmtId="176" fontId="3" fillId="0" borderId="11" xfId="0" applyNumberFormat="1" applyFont="1" applyBorder="1" applyAlignment="1">
      <alignment horizontal="center"/>
    </xf>
    <xf numFmtId="176" fontId="3" fillId="0" borderId="44" xfId="0" applyNumberFormat="1" applyFont="1" applyBorder="1" applyAlignment="1">
      <alignment horizontal="center"/>
    </xf>
    <xf numFmtId="176" fontId="3" fillId="0" borderId="45" xfId="0" applyNumberFormat="1" applyFont="1" applyBorder="1" applyAlignment="1">
      <alignment horizontal="center"/>
    </xf>
    <xf numFmtId="181" fontId="3" fillId="0" borderId="17" xfId="0" applyNumberFormat="1" applyFont="1" applyBorder="1" applyAlignment="1">
      <alignment horizontal="center"/>
    </xf>
    <xf numFmtId="181" fontId="3" fillId="0" borderId="28" xfId="0" applyNumberFormat="1" applyFont="1" applyBorder="1" applyAlignment="1">
      <alignment horizontal="center"/>
    </xf>
    <xf numFmtId="176" fontId="3" fillId="0" borderId="26" xfId="0" applyNumberFormat="1" applyFont="1" applyBorder="1" applyAlignment="1">
      <alignment horizontal="center"/>
    </xf>
    <xf numFmtId="176" fontId="3" fillId="0" borderId="18" xfId="0" applyNumberFormat="1" applyFont="1" applyBorder="1" applyAlignment="1">
      <alignment horizontal="center"/>
    </xf>
    <xf numFmtId="176" fontId="3" fillId="0" borderId="46" xfId="0" applyNumberFormat="1" applyFont="1" applyBorder="1" applyAlignment="1">
      <alignment horizontal="center"/>
    </xf>
    <xf numFmtId="176" fontId="3" fillId="0" borderId="47" xfId="0" applyNumberFormat="1" applyFont="1" applyBorder="1" applyAlignment="1">
      <alignment horizontal="center"/>
    </xf>
    <xf numFmtId="181" fontId="3" fillId="0" borderId="18" xfId="0" applyNumberFormat="1" applyFont="1" applyBorder="1" applyAlignment="1">
      <alignment horizontal="center"/>
    </xf>
    <xf numFmtId="181" fontId="3" fillId="0" borderId="40" xfId="0" applyNumberFormat="1" applyFont="1" applyBorder="1" applyAlignment="1">
      <alignment horizontal="center"/>
    </xf>
    <xf numFmtId="181" fontId="3" fillId="0" borderId="11" xfId="0" applyNumberFormat="1" applyFont="1" applyBorder="1" applyAlignment="1">
      <alignment horizontal="center"/>
    </xf>
    <xf numFmtId="181" fontId="3" fillId="0" borderId="32" xfId="0" applyNumberFormat="1" applyFont="1" applyBorder="1" applyAlignment="1">
      <alignment horizontal="center"/>
    </xf>
    <xf numFmtId="176" fontId="3" fillId="0" borderId="27" xfId="0" applyNumberFormat="1" applyFont="1" applyBorder="1" applyAlignment="1">
      <alignment horizontal="center"/>
    </xf>
    <xf numFmtId="176" fontId="3" fillId="0" borderId="43" xfId="0" applyNumberFormat="1" applyFont="1" applyBorder="1" applyAlignment="1">
      <alignment horizontal="center"/>
    </xf>
    <xf numFmtId="176" fontId="3" fillId="0" borderId="48" xfId="0" applyNumberFormat="1" applyFont="1" applyBorder="1" applyAlignment="1">
      <alignment horizontal="center"/>
    </xf>
    <xf numFmtId="176" fontId="3" fillId="0" borderId="49" xfId="0" applyNumberFormat="1" applyFont="1" applyBorder="1" applyAlignment="1">
      <alignment horizontal="center"/>
    </xf>
    <xf numFmtId="176" fontId="3" fillId="0" borderId="34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176" fontId="3" fillId="0" borderId="36" xfId="0" applyNumberFormat="1" applyFont="1" applyBorder="1" applyAlignment="1">
      <alignment horizontal="center"/>
    </xf>
    <xf numFmtId="176" fontId="3" fillId="0" borderId="50" xfId="0" applyNumberFormat="1" applyFont="1" applyBorder="1" applyAlignment="1">
      <alignment horizontal="center"/>
    </xf>
    <xf numFmtId="176" fontId="12" fillId="0" borderId="13" xfId="0" applyNumberFormat="1" applyFont="1" applyBorder="1" applyAlignment="1">
      <alignment horizontal="center"/>
    </xf>
    <xf numFmtId="176" fontId="12" fillId="0" borderId="25" xfId="0" applyNumberFormat="1" applyFont="1" applyBorder="1" applyAlignment="1">
      <alignment horizontal="center"/>
    </xf>
    <xf numFmtId="181" fontId="3" fillId="0" borderId="16" xfId="0" applyNumberFormat="1" applyFont="1" applyBorder="1" applyAlignment="1">
      <alignment horizontal="center"/>
    </xf>
    <xf numFmtId="181" fontId="3" fillId="0" borderId="29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182" fontId="6" fillId="0" borderId="0" xfId="0" applyNumberFormat="1" applyFont="1" applyAlignment="1">
      <alignment horizontal="center"/>
    </xf>
    <xf numFmtId="0" fontId="4" fillId="0" borderId="30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205" fontId="3" fillId="0" borderId="16" xfId="0" applyNumberFormat="1" applyFont="1" applyBorder="1" applyAlignment="1">
      <alignment horizontal="center"/>
    </xf>
    <xf numFmtId="176" fontId="3" fillId="0" borderId="19" xfId="0" applyNumberFormat="1" applyFont="1" applyBorder="1" applyAlignment="1">
      <alignment horizontal="center"/>
    </xf>
    <xf numFmtId="176" fontId="3" fillId="0" borderId="15" xfId="0" applyNumberFormat="1" applyFont="1" applyBorder="1" applyAlignment="1">
      <alignment horizontal="center"/>
    </xf>
    <xf numFmtId="176" fontId="3" fillId="0" borderId="42" xfId="0" applyNumberFormat="1" applyFont="1" applyBorder="1" applyAlignment="1">
      <alignment horizontal="center"/>
    </xf>
    <xf numFmtId="176" fontId="3" fillId="0" borderId="51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76" fontId="3" fillId="0" borderId="33" xfId="0" applyNumberFormat="1" applyFont="1" applyBorder="1" applyAlignment="1">
      <alignment horizontal="center"/>
    </xf>
    <xf numFmtId="176" fontId="3" fillId="0" borderId="52" xfId="0" applyNumberFormat="1" applyFont="1" applyBorder="1" applyAlignment="1">
      <alignment horizontal="center"/>
    </xf>
    <xf numFmtId="176" fontId="3" fillId="0" borderId="53" xfId="0" applyNumberFormat="1" applyFont="1" applyBorder="1" applyAlignment="1">
      <alignment horizontal="center"/>
    </xf>
    <xf numFmtId="181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right"/>
    </xf>
    <xf numFmtId="176" fontId="4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182" fontId="3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76" fontId="6" fillId="0" borderId="0" xfId="0" applyNumberFormat="1" applyFont="1" applyAlignment="1">
      <alignment horizontal="right"/>
    </xf>
    <xf numFmtId="181" fontId="6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83" fontId="3" fillId="0" borderId="0" xfId="0" applyNumberFormat="1" applyFont="1" applyAlignment="1">
      <alignment horizontal="right" vertical="center"/>
    </xf>
    <xf numFmtId="176" fontId="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182" fontId="3" fillId="0" borderId="0" xfId="0" applyNumberFormat="1" applyFont="1" applyAlignment="1">
      <alignment horizontal="right"/>
    </xf>
    <xf numFmtId="182" fontId="3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/>
    </xf>
    <xf numFmtId="181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181" fontId="6" fillId="0" borderId="0" xfId="0" applyNumberFormat="1" applyFont="1" applyBorder="1" applyAlignment="1">
      <alignment horizontal="center" vertical="center"/>
    </xf>
    <xf numFmtId="183" fontId="3" fillId="0" borderId="11" xfId="0" applyNumberFormat="1" applyFont="1" applyBorder="1" applyAlignment="1">
      <alignment horizontal="center"/>
    </xf>
    <xf numFmtId="182" fontId="3" fillId="0" borderId="11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right" vertical="center"/>
    </xf>
    <xf numFmtId="176" fontId="33" fillId="0" borderId="0" xfId="0" applyNumberFormat="1" applyFont="1" applyAlignment="1">
      <alignment horizontal="right"/>
    </xf>
    <xf numFmtId="176" fontId="1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183" fontId="3" fillId="0" borderId="0" xfId="0" applyNumberFormat="1" applyFont="1" applyBorder="1" applyAlignment="1">
      <alignment horizontal="center"/>
    </xf>
    <xf numFmtId="182" fontId="3" fillId="0" borderId="16" xfId="0" applyNumberFormat="1" applyFont="1" applyBorder="1" applyAlignment="1">
      <alignment horizontal="center"/>
    </xf>
    <xf numFmtId="181" fontId="4" fillId="0" borderId="0" xfId="0" applyNumberFormat="1" applyFont="1" applyBorder="1" applyAlignment="1">
      <alignment horizontal="center"/>
    </xf>
    <xf numFmtId="182" fontId="4" fillId="0" borderId="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강조색1" xfId="33"/>
    <cellStyle name="40% - 강조색2" xfId="34"/>
    <cellStyle name="40% - 강조색3" xfId="35"/>
    <cellStyle name="40% - 강조색4" xfId="36"/>
    <cellStyle name="40% - 강조색5" xfId="37"/>
    <cellStyle name="40% - 강조색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강조색1" xfId="45"/>
    <cellStyle name="60% - 강조색2" xfId="46"/>
    <cellStyle name="60% - 강조색3" xfId="47"/>
    <cellStyle name="60% - 강조색4" xfId="48"/>
    <cellStyle name="60% - 강조색5" xfId="49"/>
    <cellStyle name="60% - 강조색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[0]_ SG&amp;A Bridge " xfId="60"/>
    <cellStyle name="Comma_ SG&amp;A Bridge " xfId="61"/>
    <cellStyle name="Currency [0]_ SG&amp;A Bridge " xfId="62"/>
    <cellStyle name="Currency_ SG&amp;A Bridge " xfId="63"/>
    <cellStyle name="DSValue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Input" xfId="71"/>
    <cellStyle name="Linked Cell" xfId="72"/>
    <cellStyle name="Neutral" xfId="73"/>
    <cellStyle name="Normal_ SG&amp;A Bridge " xfId="74"/>
    <cellStyle name="Note" xfId="75"/>
    <cellStyle name="Output" xfId="76"/>
    <cellStyle name="string" xfId="77"/>
    <cellStyle name="Title" xfId="78"/>
    <cellStyle name="Total" xfId="79"/>
    <cellStyle name="unit" xfId="80"/>
    <cellStyle name="Warning Text" xfId="81"/>
    <cellStyle name="Обычный_Units" xfId="82"/>
    <cellStyle name="강조색1" xfId="83"/>
    <cellStyle name="강조색2" xfId="84"/>
    <cellStyle name="강조색3" xfId="85"/>
    <cellStyle name="강조색4" xfId="86"/>
    <cellStyle name="강조색5" xfId="87"/>
    <cellStyle name="강조색6" xfId="88"/>
    <cellStyle name="경고문" xfId="89"/>
    <cellStyle name="계산" xfId="90"/>
    <cellStyle name="나쁨" xfId="91"/>
    <cellStyle name="메모" xfId="92"/>
    <cellStyle name="Percent" xfId="93"/>
    <cellStyle name="보통" xfId="94"/>
    <cellStyle name="뷭?_BOOKSHIP" xfId="95"/>
    <cellStyle name="설명 텍스트" xfId="96"/>
    <cellStyle name="셀 확인" xfId="97"/>
    <cellStyle name="Comma" xfId="98"/>
    <cellStyle name="Comma [0]" xfId="99"/>
    <cellStyle name="연결된 셀" xfId="100"/>
    <cellStyle name="Followed Hyperlink" xfId="101"/>
    <cellStyle name="요약" xfId="102"/>
    <cellStyle name="입력" xfId="103"/>
    <cellStyle name="제목" xfId="104"/>
    <cellStyle name="제목 1" xfId="105"/>
    <cellStyle name="제목 2" xfId="106"/>
    <cellStyle name="제목 3" xfId="107"/>
    <cellStyle name="제목 4" xfId="108"/>
    <cellStyle name="좋음" xfId="109"/>
    <cellStyle name="출력" xfId="110"/>
    <cellStyle name="콤마 [0]_1085-LTR" xfId="111"/>
    <cellStyle name="콤마_1085-LTR" xfId="112"/>
    <cellStyle name="Currency" xfId="113"/>
    <cellStyle name="Currency [0]" xfId="114"/>
    <cellStyle name="Hyperlink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9.emf" /><Relationship Id="rId3" Type="http://schemas.openxmlformats.org/officeDocument/2006/relationships/image" Target="../media/image18.emf" /><Relationship Id="rId4" Type="http://schemas.openxmlformats.org/officeDocument/2006/relationships/image" Target="../media/image12.emf" /><Relationship Id="rId5" Type="http://schemas.openxmlformats.org/officeDocument/2006/relationships/image" Target="../media/image2.emf" /><Relationship Id="rId6" Type="http://schemas.openxmlformats.org/officeDocument/2006/relationships/image" Target="../media/image17.emf" /><Relationship Id="rId7" Type="http://schemas.openxmlformats.org/officeDocument/2006/relationships/image" Target="../media/image16.emf" /><Relationship Id="rId8" Type="http://schemas.openxmlformats.org/officeDocument/2006/relationships/image" Target="../media/image15.emf" /><Relationship Id="rId9" Type="http://schemas.openxmlformats.org/officeDocument/2006/relationships/image" Target="../media/image14.emf" /><Relationship Id="rId10" Type="http://schemas.openxmlformats.org/officeDocument/2006/relationships/image" Target="../media/image19.emf" /><Relationship Id="rId11" Type="http://schemas.openxmlformats.org/officeDocument/2006/relationships/image" Target="../media/image3.emf" /><Relationship Id="rId12" Type="http://schemas.openxmlformats.org/officeDocument/2006/relationships/image" Target="../media/image20.emf" /><Relationship Id="rId13" Type="http://schemas.openxmlformats.org/officeDocument/2006/relationships/image" Target="../media/image6.emf" /><Relationship Id="rId14" Type="http://schemas.openxmlformats.org/officeDocument/2006/relationships/image" Target="../media/image21.emf" /><Relationship Id="rId1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0.emf" /><Relationship Id="rId3" Type="http://schemas.openxmlformats.org/officeDocument/2006/relationships/image" Target="../media/image8.emf" /><Relationship Id="rId4" Type="http://schemas.openxmlformats.org/officeDocument/2006/relationships/image" Target="../media/image1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</xdr:row>
      <xdr:rowOff>0</xdr:rowOff>
    </xdr:from>
    <xdr:to>
      <xdr:col>9</xdr:col>
      <xdr:colOff>0</xdr:colOff>
      <xdr:row>33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47700" y="3571875"/>
          <a:ext cx="22669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8</xdr:col>
      <xdr:colOff>0</xdr:colOff>
      <xdr:row>31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971550" y="3857625"/>
          <a:ext cx="1619250" cy="571500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114300</xdr:colOff>
      <xdr:row>27</xdr:row>
      <xdr:rowOff>95250</xdr:rowOff>
    </xdr:from>
    <xdr:to>
      <xdr:col>7</xdr:col>
      <xdr:colOff>209550</xdr:colOff>
      <xdr:row>30</xdr:row>
      <xdr:rowOff>47625</xdr:rowOff>
    </xdr:to>
    <xdr:sp>
      <xdr:nvSpPr>
        <xdr:cNvPr id="3" name="Rectangle 3"/>
        <xdr:cNvSpPr>
          <a:spLocks/>
        </xdr:cNvSpPr>
      </xdr:nvSpPr>
      <xdr:spPr>
        <a:xfrm>
          <a:off x="1085850" y="3952875"/>
          <a:ext cx="1390650" cy="381000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266700</xdr:colOff>
      <xdr:row>26</xdr:row>
      <xdr:rowOff>0</xdr:rowOff>
    </xdr:from>
    <xdr:to>
      <xdr:col>17</xdr:col>
      <xdr:colOff>57150</xdr:colOff>
      <xdr:row>26</xdr:row>
      <xdr:rowOff>0</xdr:rowOff>
    </xdr:to>
    <xdr:sp>
      <xdr:nvSpPr>
        <xdr:cNvPr id="4" name="Line 4"/>
        <xdr:cNvSpPr>
          <a:spLocks/>
        </xdr:cNvSpPr>
      </xdr:nvSpPr>
      <xdr:spPr>
        <a:xfrm>
          <a:off x="3829050" y="37147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0</xdr:colOff>
      <xdr:row>25</xdr:row>
      <xdr:rowOff>0</xdr:rowOff>
    </xdr:from>
    <xdr:to>
      <xdr:col>13</xdr:col>
      <xdr:colOff>0</xdr:colOff>
      <xdr:row>29</xdr:row>
      <xdr:rowOff>19050</xdr:rowOff>
    </xdr:to>
    <xdr:grpSp>
      <xdr:nvGrpSpPr>
        <xdr:cNvPr id="5" name="Group 5"/>
        <xdr:cNvGrpSpPr>
          <a:grpSpLocks/>
        </xdr:cNvGrpSpPr>
      </xdr:nvGrpSpPr>
      <xdr:grpSpPr>
        <a:xfrm>
          <a:off x="3886200" y="3571875"/>
          <a:ext cx="323850" cy="590550"/>
          <a:chOff x="408" y="375"/>
          <a:chExt cx="34" cy="62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408" y="375"/>
            <a:ext cx="0" cy="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8" y="375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442" y="375"/>
            <a:ext cx="0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 flipH="1">
            <a:off x="436" y="407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436" y="418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436" y="40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42" y="418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408" y="385"/>
            <a:ext cx="34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>
            <a:off x="408" y="433"/>
            <a:ext cx="34" cy="4"/>
          </a:xfrm>
          <a:custGeom>
            <a:pathLst>
              <a:path h="4" w="34">
                <a:moveTo>
                  <a:pt x="0" y="2"/>
                </a:moveTo>
                <a:cubicBezTo>
                  <a:pt x="3" y="1"/>
                  <a:pt x="7" y="0"/>
                  <a:pt x="11" y="0"/>
                </a:cubicBezTo>
                <a:cubicBezTo>
                  <a:pt x="15" y="0"/>
                  <a:pt x="20" y="4"/>
                  <a:pt x="24" y="4"/>
                </a:cubicBezTo>
                <a:cubicBezTo>
                  <a:pt x="28" y="4"/>
                  <a:pt x="31" y="3"/>
                  <a:pt x="34" y="2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2</xdr:col>
      <xdr:colOff>104775</xdr:colOff>
      <xdr:row>25</xdr:row>
      <xdr:rowOff>95250</xdr:rowOff>
    </xdr:from>
    <xdr:to>
      <xdr:col>2</xdr:col>
      <xdr:colOff>190500</xdr:colOff>
      <xdr:row>26</xdr:row>
      <xdr:rowOff>47625</xdr:rowOff>
    </xdr:to>
    <xdr:sp>
      <xdr:nvSpPr>
        <xdr:cNvPr id="15" name="Oval 15"/>
        <xdr:cNvSpPr>
          <a:spLocks/>
        </xdr:cNvSpPr>
      </xdr:nvSpPr>
      <xdr:spPr>
        <a:xfrm>
          <a:off x="752475" y="3667125"/>
          <a:ext cx="857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104775</xdr:colOff>
      <xdr:row>25</xdr:row>
      <xdr:rowOff>95250</xdr:rowOff>
    </xdr:from>
    <xdr:to>
      <xdr:col>3</xdr:col>
      <xdr:colOff>190500</xdr:colOff>
      <xdr:row>26</xdr:row>
      <xdr:rowOff>47625</xdr:rowOff>
    </xdr:to>
    <xdr:sp>
      <xdr:nvSpPr>
        <xdr:cNvPr id="16" name="Oval 16"/>
        <xdr:cNvSpPr>
          <a:spLocks/>
        </xdr:cNvSpPr>
      </xdr:nvSpPr>
      <xdr:spPr>
        <a:xfrm>
          <a:off x="1076325" y="3667125"/>
          <a:ext cx="857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104775</xdr:colOff>
      <xdr:row>25</xdr:row>
      <xdr:rowOff>95250</xdr:rowOff>
    </xdr:from>
    <xdr:to>
      <xdr:col>4</xdr:col>
      <xdr:colOff>190500</xdr:colOff>
      <xdr:row>26</xdr:row>
      <xdr:rowOff>47625</xdr:rowOff>
    </xdr:to>
    <xdr:sp>
      <xdr:nvSpPr>
        <xdr:cNvPr id="17" name="Oval 17"/>
        <xdr:cNvSpPr>
          <a:spLocks/>
        </xdr:cNvSpPr>
      </xdr:nvSpPr>
      <xdr:spPr>
        <a:xfrm>
          <a:off x="1400175" y="3667125"/>
          <a:ext cx="857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104775</xdr:colOff>
      <xdr:row>25</xdr:row>
      <xdr:rowOff>95250</xdr:rowOff>
    </xdr:from>
    <xdr:to>
      <xdr:col>5</xdr:col>
      <xdr:colOff>190500</xdr:colOff>
      <xdr:row>26</xdr:row>
      <xdr:rowOff>47625</xdr:rowOff>
    </xdr:to>
    <xdr:sp>
      <xdr:nvSpPr>
        <xdr:cNvPr id="18" name="Oval 18"/>
        <xdr:cNvSpPr>
          <a:spLocks/>
        </xdr:cNvSpPr>
      </xdr:nvSpPr>
      <xdr:spPr>
        <a:xfrm>
          <a:off x="1724025" y="3667125"/>
          <a:ext cx="857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104775</xdr:colOff>
      <xdr:row>25</xdr:row>
      <xdr:rowOff>95250</xdr:rowOff>
    </xdr:from>
    <xdr:to>
      <xdr:col>6</xdr:col>
      <xdr:colOff>190500</xdr:colOff>
      <xdr:row>26</xdr:row>
      <xdr:rowOff>47625</xdr:rowOff>
    </xdr:to>
    <xdr:sp>
      <xdr:nvSpPr>
        <xdr:cNvPr id="19" name="Oval 19"/>
        <xdr:cNvSpPr>
          <a:spLocks/>
        </xdr:cNvSpPr>
      </xdr:nvSpPr>
      <xdr:spPr>
        <a:xfrm>
          <a:off x="2047875" y="3667125"/>
          <a:ext cx="857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104775</xdr:colOff>
      <xdr:row>25</xdr:row>
      <xdr:rowOff>95250</xdr:rowOff>
    </xdr:from>
    <xdr:to>
      <xdr:col>7</xdr:col>
      <xdr:colOff>190500</xdr:colOff>
      <xdr:row>26</xdr:row>
      <xdr:rowOff>47625</xdr:rowOff>
    </xdr:to>
    <xdr:sp>
      <xdr:nvSpPr>
        <xdr:cNvPr id="20" name="Oval 20"/>
        <xdr:cNvSpPr>
          <a:spLocks/>
        </xdr:cNvSpPr>
      </xdr:nvSpPr>
      <xdr:spPr>
        <a:xfrm>
          <a:off x="2371725" y="3667125"/>
          <a:ext cx="857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104775</xdr:colOff>
      <xdr:row>25</xdr:row>
      <xdr:rowOff>95250</xdr:rowOff>
    </xdr:from>
    <xdr:to>
      <xdr:col>8</xdr:col>
      <xdr:colOff>190500</xdr:colOff>
      <xdr:row>26</xdr:row>
      <xdr:rowOff>47625</xdr:rowOff>
    </xdr:to>
    <xdr:sp>
      <xdr:nvSpPr>
        <xdr:cNvPr id="21" name="Oval 21"/>
        <xdr:cNvSpPr>
          <a:spLocks/>
        </xdr:cNvSpPr>
      </xdr:nvSpPr>
      <xdr:spPr>
        <a:xfrm>
          <a:off x="2695575" y="3667125"/>
          <a:ext cx="857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104775</xdr:colOff>
      <xdr:row>31</xdr:row>
      <xdr:rowOff>95250</xdr:rowOff>
    </xdr:from>
    <xdr:to>
      <xdr:col>2</xdr:col>
      <xdr:colOff>190500</xdr:colOff>
      <xdr:row>32</xdr:row>
      <xdr:rowOff>47625</xdr:rowOff>
    </xdr:to>
    <xdr:sp>
      <xdr:nvSpPr>
        <xdr:cNvPr id="22" name="Oval 22"/>
        <xdr:cNvSpPr>
          <a:spLocks/>
        </xdr:cNvSpPr>
      </xdr:nvSpPr>
      <xdr:spPr>
        <a:xfrm>
          <a:off x="752475" y="4524375"/>
          <a:ext cx="857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104775</xdr:colOff>
      <xdr:row>31</xdr:row>
      <xdr:rowOff>95250</xdr:rowOff>
    </xdr:from>
    <xdr:to>
      <xdr:col>3</xdr:col>
      <xdr:colOff>190500</xdr:colOff>
      <xdr:row>32</xdr:row>
      <xdr:rowOff>47625</xdr:rowOff>
    </xdr:to>
    <xdr:sp>
      <xdr:nvSpPr>
        <xdr:cNvPr id="23" name="Oval 23"/>
        <xdr:cNvSpPr>
          <a:spLocks/>
        </xdr:cNvSpPr>
      </xdr:nvSpPr>
      <xdr:spPr>
        <a:xfrm>
          <a:off x="1076325" y="4524375"/>
          <a:ext cx="857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104775</xdr:colOff>
      <xdr:row>31</xdr:row>
      <xdr:rowOff>95250</xdr:rowOff>
    </xdr:from>
    <xdr:to>
      <xdr:col>4</xdr:col>
      <xdr:colOff>190500</xdr:colOff>
      <xdr:row>32</xdr:row>
      <xdr:rowOff>47625</xdr:rowOff>
    </xdr:to>
    <xdr:sp>
      <xdr:nvSpPr>
        <xdr:cNvPr id="24" name="Oval 24"/>
        <xdr:cNvSpPr>
          <a:spLocks/>
        </xdr:cNvSpPr>
      </xdr:nvSpPr>
      <xdr:spPr>
        <a:xfrm>
          <a:off x="1400175" y="4524375"/>
          <a:ext cx="857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104775</xdr:colOff>
      <xdr:row>31</xdr:row>
      <xdr:rowOff>95250</xdr:rowOff>
    </xdr:from>
    <xdr:to>
      <xdr:col>5</xdr:col>
      <xdr:colOff>190500</xdr:colOff>
      <xdr:row>32</xdr:row>
      <xdr:rowOff>47625</xdr:rowOff>
    </xdr:to>
    <xdr:sp>
      <xdr:nvSpPr>
        <xdr:cNvPr id="25" name="Oval 25"/>
        <xdr:cNvSpPr>
          <a:spLocks/>
        </xdr:cNvSpPr>
      </xdr:nvSpPr>
      <xdr:spPr>
        <a:xfrm>
          <a:off x="1724025" y="4524375"/>
          <a:ext cx="857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104775</xdr:colOff>
      <xdr:row>31</xdr:row>
      <xdr:rowOff>95250</xdr:rowOff>
    </xdr:from>
    <xdr:to>
      <xdr:col>6</xdr:col>
      <xdr:colOff>190500</xdr:colOff>
      <xdr:row>32</xdr:row>
      <xdr:rowOff>47625</xdr:rowOff>
    </xdr:to>
    <xdr:sp>
      <xdr:nvSpPr>
        <xdr:cNvPr id="26" name="Oval 26"/>
        <xdr:cNvSpPr>
          <a:spLocks/>
        </xdr:cNvSpPr>
      </xdr:nvSpPr>
      <xdr:spPr>
        <a:xfrm>
          <a:off x="2047875" y="4524375"/>
          <a:ext cx="857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104775</xdr:colOff>
      <xdr:row>31</xdr:row>
      <xdr:rowOff>95250</xdr:rowOff>
    </xdr:from>
    <xdr:to>
      <xdr:col>7</xdr:col>
      <xdr:colOff>190500</xdr:colOff>
      <xdr:row>32</xdr:row>
      <xdr:rowOff>47625</xdr:rowOff>
    </xdr:to>
    <xdr:sp>
      <xdr:nvSpPr>
        <xdr:cNvPr id="27" name="Oval 27"/>
        <xdr:cNvSpPr>
          <a:spLocks/>
        </xdr:cNvSpPr>
      </xdr:nvSpPr>
      <xdr:spPr>
        <a:xfrm>
          <a:off x="2371725" y="4524375"/>
          <a:ext cx="857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95250</xdr:rowOff>
    </xdr:from>
    <xdr:to>
      <xdr:col>8</xdr:col>
      <xdr:colOff>190500</xdr:colOff>
      <xdr:row>32</xdr:row>
      <xdr:rowOff>47625</xdr:rowOff>
    </xdr:to>
    <xdr:sp>
      <xdr:nvSpPr>
        <xdr:cNvPr id="28" name="Oval 28"/>
        <xdr:cNvSpPr>
          <a:spLocks/>
        </xdr:cNvSpPr>
      </xdr:nvSpPr>
      <xdr:spPr>
        <a:xfrm>
          <a:off x="2695575" y="4524375"/>
          <a:ext cx="857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104775</xdr:colOff>
      <xdr:row>27</xdr:row>
      <xdr:rowOff>95250</xdr:rowOff>
    </xdr:from>
    <xdr:to>
      <xdr:col>2</xdr:col>
      <xdr:colOff>190500</xdr:colOff>
      <xdr:row>28</xdr:row>
      <xdr:rowOff>47625</xdr:rowOff>
    </xdr:to>
    <xdr:sp>
      <xdr:nvSpPr>
        <xdr:cNvPr id="29" name="Oval 29"/>
        <xdr:cNvSpPr>
          <a:spLocks/>
        </xdr:cNvSpPr>
      </xdr:nvSpPr>
      <xdr:spPr>
        <a:xfrm>
          <a:off x="752475" y="3952875"/>
          <a:ext cx="857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104775</xdr:colOff>
      <xdr:row>29</xdr:row>
      <xdr:rowOff>95250</xdr:rowOff>
    </xdr:from>
    <xdr:to>
      <xdr:col>2</xdr:col>
      <xdr:colOff>190500</xdr:colOff>
      <xdr:row>30</xdr:row>
      <xdr:rowOff>47625</xdr:rowOff>
    </xdr:to>
    <xdr:sp>
      <xdr:nvSpPr>
        <xdr:cNvPr id="30" name="Oval 30"/>
        <xdr:cNvSpPr>
          <a:spLocks/>
        </xdr:cNvSpPr>
      </xdr:nvSpPr>
      <xdr:spPr>
        <a:xfrm>
          <a:off x="752475" y="4238625"/>
          <a:ext cx="857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104775</xdr:colOff>
      <xdr:row>27</xdr:row>
      <xdr:rowOff>95250</xdr:rowOff>
    </xdr:from>
    <xdr:to>
      <xdr:col>8</xdr:col>
      <xdr:colOff>190500</xdr:colOff>
      <xdr:row>28</xdr:row>
      <xdr:rowOff>47625</xdr:rowOff>
    </xdr:to>
    <xdr:sp>
      <xdr:nvSpPr>
        <xdr:cNvPr id="31" name="Oval 31"/>
        <xdr:cNvSpPr>
          <a:spLocks/>
        </xdr:cNvSpPr>
      </xdr:nvSpPr>
      <xdr:spPr>
        <a:xfrm>
          <a:off x="2695575" y="3952875"/>
          <a:ext cx="857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104775</xdr:colOff>
      <xdr:row>29</xdr:row>
      <xdr:rowOff>95250</xdr:rowOff>
    </xdr:from>
    <xdr:to>
      <xdr:col>8</xdr:col>
      <xdr:colOff>190500</xdr:colOff>
      <xdr:row>30</xdr:row>
      <xdr:rowOff>47625</xdr:rowOff>
    </xdr:to>
    <xdr:sp>
      <xdr:nvSpPr>
        <xdr:cNvPr id="32" name="Oval 32"/>
        <xdr:cNvSpPr>
          <a:spLocks/>
        </xdr:cNvSpPr>
      </xdr:nvSpPr>
      <xdr:spPr>
        <a:xfrm>
          <a:off x="2695575" y="4238625"/>
          <a:ext cx="857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152400</xdr:colOff>
      <xdr:row>26</xdr:row>
      <xdr:rowOff>0</xdr:rowOff>
    </xdr:from>
    <xdr:to>
      <xdr:col>8</xdr:col>
      <xdr:colOff>142875</xdr:colOff>
      <xdr:row>32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800100" y="3714750"/>
          <a:ext cx="1933575" cy="857250"/>
        </a:xfrm>
        <a:prstGeom prst="rect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28575</xdr:rowOff>
    </xdr:from>
    <xdr:to>
      <xdr:col>14</xdr:col>
      <xdr:colOff>28575</xdr:colOff>
      <xdr:row>27</xdr:row>
      <xdr:rowOff>104775</xdr:rowOff>
    </xdr:to>
    <xdr:sp>
      <xdr:nvSpPr>
        <xdr:cNvPr id="34" name="Rectangle 34"/>
        <xdr:cNvSpPr>
          <a:spLocks/>
        </xdr:cNvSpPr>
      </xdr:nvSpPr>
      <xdr:spPr>
        <a:xfrm>
          <a:off x="4533900" y="3886200"/>
          <a:ext cx="285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85725</xdr:colOff>
      <xdr:row>27</xdr:row>
      <xdr:rowOff>28575</xdr:rowOff>
    </xdr:from>
    <xdr:to>
      <xdr:col>14</xdr:col>
      <xdr:colOff>228600</xdr:colOff>
      <xdr:row>27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619625" y="38862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85725</xdr:colOff>
      <xdr:row>27</xdr:row>
      <xdr:rowOff>104775</xdr:rowOff>
    </xdr:from>
    <xdr:to>
      <xdr:col>14</xdr:col>
      <xdr:colOff>228600</xdr:colOff>
      <xdr:row>27</xdr:row>
      <xdr:rowOff>104775</xdr:rowOff>
    </xdr:to>
    <xdr:sp>
      <xdr:nvSpPr>
        <xdr:cNvPr id="36" name="Line 36"/>
        <xdr:cNvSpPr>
          <a:spLocks/>
        </xdr:cNvSpPr>
      </xdr:nvSpPr>
      <xdr:spPr>
        <a:xfrm>
          <a:off x="4619625" y="39624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276225</xdr:colOff>
      <xdr:row>27</xdr:row>
      <xdr:rowOff>28575</xdr:rowOff>
    </xdr:from>
    <xdr:to>
      <xdr:col>16</xdr:col>
      <xdr:colOff>0</xdr:colOff>
      <xdr:row>27</xdr:row>
      <xdr:rowOff>104775</xdr:rowOff>
    </xdr:to>
    <xdr:sp>
      <xdr:nvSpPr>
        <xdr:cNvPr id="37" name="Rectangle 37"/>
        <xdr:cNvSpPr>
          <a:spLocks/>
        </xdr:cNvSpPr>
      </xdr:nvSpPr>
      <xdr:spPr>
        <a:xfrm>
          <a:off x="5133975" y="3886200"/>
          <a:ext cx="476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47625</xdr:colOff>
      <xdr:row>27</xdr:row>
      <xdr:rowOff>19050</xdr:rowOff>
    </xdr:from>
    <xdr:to>
      <xdr:col>13</xdr:col>
      <xdr:colOff>209550</xdr:colOff>
      <xdr:row>27</xdr:row>
      <xdr:rowOff>19050</xdr:rowOff>
    </xdr:to>
    <xdr:sp>
      <xdr:nvSpPr>
        <xdr:cNvPr id="38" name="Line 38"/>
        <xdr:cNvSpPr>
          <a:spLocks/>
        </xdr:cNvSpPr>
      </xdr:nvSpPr>
      <xdr:spPr>
        <a:xfrm>
          <a:off x="4257675" y="38766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38100</xdr:colOff>
      <xdr:row>27</xdr:row>
      <xdr:rowOff>114300</xdr:rowOff>
    </xdr:from>
    <xdr:to>
      <xdr:col>13</xdr:col>
      <xdr:colOff>209550</xdr:colOff>
      <xdr:row>27</xdr:row>
      <xdr:rowOff>114300</xdr:rowOff>
    </xdr:to>
    <xdr:sp>
      <xdr:nvSpPr>
        <xdr:cNvPr id="39" name="Line 39"/>
        <xdr:cNvSpPr>
          <a:spLocks/>
        </xdr:cNvSpPr>
      </xdr:nvSpPr>
      <xdr:spPr>
        <a:xfrm>
          <a:off x="4248150" y="3971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171450</xdr:colOff>
      <xdr:row>26</xdr:row>
      <xdr:rowOff>47625</xdr:rowOff>
    </xdr:from>
    <xdr:to>
      <xdr:col>14</xdr:col>
      <xdr:colOff>171450</xdr:colOff>
      <xdr:row>27</xdr:row>
      <xdr:rowOff>19050</xdr:rowOff>
    </xdr:to>
    <xdr:sp>
      <xdr:nvSpPr>
        <xdr:cNvPr id="40" name="Line 40"/>
        <xdr:cNvSpPr>
          <a:spLocks/>
        </xdr:cNvSpPr>
      </xdr:nvSpPr>
      <xdr:spPr>
        <a:xfrm>
          <a:off x="4705350" y="37623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171450</xdr:colOff>
      <xdr:row>27</xdr:row>
      <xdr:rowOff>104775</xdr:rowOff>
    </xdr:from>
    <xdr:to>
      <xdr:col>14</xdr:col>
      <xdr:colOff>171450</xdr:colOff>
      <xdr:row>37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4705350" y="3962400"/>
          <a:ext cx="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161925</xdr:colOff>
      <xdr:row>26</xdr:row>
      <xdr:rowOff>47625</xdr:rowOff>
    </xdr:from>
    <xdr:to>
      <xdr:col>13</xdr:col>
      <xdr:colOff>161925</xdr:colOff>
      <xdr:row>27</xdr:row>
      <xdr:rowOff>19050</xdr:rowOff>
    </xdr:to>
    <xdr:sp>
      <xdr:nvSpPr>
        <xdr:cNvPr id="42" name="Line 42"/>
        <xdr:cNvSpPr>
          <a:spLocks/>
        </xdr:cNvSpPr>
      </xdr:nvSpPr>
      <xdr:spPr>
        <a:xfrm>
          <a:off x="4371975" y="37623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161925</xdr:colOff>
      <xdr:row>27</xdr:row>
      <xdr:rowOff>114300</xdr:rowOff>
    </xdr:from>
    <xdr:to>
      <xdr:col>13</xdr:col>
      <xdr:colOff>161925</xdr:colOff>
      <xdr:row>37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4371975" y="3971925"/>
          <a:ext cx="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171450</xdr:colOff>
      <xdr:row>37</xdr:row>
      <xdr:rowOff>0</xdr:rowOff>
    </xdr:from>
    <xdr:to>
      <xdr:col>17</xdr:col>
      <xdr:colOff>219075</xdr:colOff>
      <xdr:row>37</xdr:row>
      <xdr:rowOff>0</xdr:rowOff>
    </xdr:to>
    <xdr:sp>
      <xdr:nvSpPr>
        <xdr:cNvPr id="44" name="Line 44"/>
        <xdr:cNvSpPr>
          <a:spLocks/>
        </xdr:cNvSpPr>
      </xdr:nvSpPr>
      <xdr:spPr>
        <a:xfrm>
          <a:off x="4705350" y="52863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295275</xdr:colOff>
      <xdr:row>26</xdr:row>
      <xdr:rowOff>0</xdr:rowOff>
    </xdr:from>
    <xdr:to>
      <xdr:col>11</xdr:col>
      <xdr:colOff>190500</xdr:colOff>
      <xdr:row>26</xdr:row>
      <xdr:rowOff>0</xdr:rowOff>
    </xdr:to>
    <xdr:sp>
      <xdr:nvSpPr>
        <xdr:cNvPr id="45" name="Line 45"/>
        <xdr:cNvSpPr>
          <a:spLocks/>
        </xdr:cNvSpPr>
      </xdr:nvSpPr>
      <xdr:spPr>
        <a:xfrm>
          <a:off x="3533775" y="3714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161925</xdr:colOff>
      <xdr:row>27</xdr:row>
      <xdr:rowOff>57150</xdr:rowOff>
    </xdr:from>
    <xdr:to>
      <xdr:col>12</xdr:col>
      <xdr:colOff>219075</xdr:colOff>
      <xdr:row>27</xdr:row>
      <xdr:rowOff>57150</xdr:rowOff>
    </xdr:to>
    <xdr:sp>
      <xdr:nvSpPr>
        <xdr:cNvPr id="46" name="Line 46"/>
        <xdr:cNvSpPr>
          <a:spLocks/>
        </xdr:cNvSpPr>
      </xdr:nvSpPr>
      <xdr:spPr>
        <a:xfrm>
          <a:off x="2428875" y="391477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0</xdr:colOff>
      <xdr:row>27</xdr:row>
      <xdr:rowOff>57150</xdr:rowOff>
    </xdr:to>
    <xdr:sp>
      <xdr:nvSpPr>
        <xdr:cNvPr id="47" name="Line 47"/>
        <xdr:cNvSpPr>
          <a:spLocks/>
        </xdr:cNvSpPr>
      </xdr:nvSpPr>
      <xdr:spPr>
        <a:xfrm>
          <a:off x="3562350" y="37147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161925</xdr:colOff>
      <xdr:row>30</xdr:row>
      <xdr:rowOff>76200</xdr:rowOff>
    </xdr:from>
    <xdr:to>
      <xdr:col>11</xdr:col>
      <xdr:colOff>57150</xdr:colOff>
      <xdr:row>30</xdr:row>
      <xdr:rowOff>76200</xdr:rowOff>
    </xdr:to>
    <xdr:sp>
      <xdr:nvSpPr>
        <xdr:cNvPr id="48" name="Line 48"/>
        <xdr:cNvSpPr>
          <a:spLocks/>
        </xdr:cNvSpPr>
      </xdr:nvSpPr>
      <xdr:spPr>
        <a:xfrm>
          <a:off x="2428875" y="436245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47625</xdr:rowOff>
    </xdr:from>
    <xdr:to>
      <xdr:col>11</xdr:col>
      <xdr:colOff>0</xdr:colOff>
      <xdr:row>30</xdr:row>
      <xdr:rowOff>76200</xdr:rowOff>
    </xdr:to>
    <xdr:sp>
      <xdr:nvSpPr>
        <xdr:cNvPr id="49" name="Line 49"/>
        <xdr:cNvSpPr>
          <a:spLocks/>
        </xdr:cNvSpPr>
      </xdr:nvSpPr>
      <xdr:spPr>
        <a:xfrm flipV="1">
          <a:off x="3562350" y="39052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57150</xdr:colOff>
      <xdr:row>30</xdr:row>
      <xdr:rowOff>9525</xdr:rowOff>
    </xdr:from>
    <xdr:to>
      <xdr:col>3</xdr:col>
      <xdr:colOff>57150</xdr:colOff>
      <xdr:row>36</xdr:row>
      <xdr:rowOff>38100</xdr:rowOff>
    </xdr:to>
    <xdr:sp>
      <xdr:nvSpPr>
        <xdr:cNvPr id="50" name="Line 50"/>
        <xdr:cNvSpPr>
          <a:spLocks/>
        </xdr:cNvSpPr>
      </xdr:nvSpPr>
      <xdr:spPr>
        <a:xfrm>
          <a:off x="1028700" y="4295775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266700</xdr:colOff>
      <xdr:row>30</xdr:row>
      <xdr:rowOff>9525</xdr:rowOff>
    </xdr:from>
    <xdr:to>
      <xdr:col>7</xdr:col>
      <xdr:colOff>266700</xdr:colOff>
      <xdr:row>36</xdr:row>
      <xdr:rowOff>38100</xdr:rowOff>
    </xdr:to>
    <xdr:sp>
      <xdr:nvSpPr>
        <xdr:cNvPr id="51" name="Line 51"/>
        <xdr:cNvSpPr>
          <a:spLocks/>
        </xdr:cNvSpPr>
      </xdr:nvSpPr>
      <xdr:spPr>
        <a:xfrm>
          <a:off x="2533650" y="4295775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142875</xdr:colOff>
      <xdr:row>32</xdr:row>
      <xdr:rowOff>85725</xdr:rowOff>
    </xdr:from>
    <xdr:to>
      <xdr:col>5</xdr:col>
      <xdr:colOff>142875</xdr:colOff>
      <xdr:row>35</xdr:row>
      <xdr:rowOff>19050</xdr:rowOff>
    </xdr:to>
    <xdr:sp>
      <xdr:nvSpPr>
        <xdr:cNvPr id="52" name="Line 52"/>
        <xdr:cNvSpPr>
          <a:spLocks/>
        </xdr:cNvSpPr>
      </xdr:nvSpPr>
      <xdr:spPr>
        <a:xfrm>
          <a:off x="1762125" y="46577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161925</xdr:colOff>
      <xdr:row>32</xdr:row>
      <xdr:rowOff>85725</xdr:rowOff>
    </xdr:from>
    <xdr:to>
      <xdr:col>6</xdr:col>
      <xdr:colOff>161925</xdr:colOff>
      <xdr:row>35</xdr:row>
      <xdr:rowOff>38100</xdr:rowOff>
    </xdr:to>
    <xdr:sp>
      <xdr:nvSpPr>
        <xdr:cNvPr id="53" name="Line 53"/>
        <xdr:cNvSpPr>
          <a:spLocks/>
        </xdr:cNvSpPr>
      </xdr:nvSpPr>
      <xdr:spPr>
        <a:xfrm>
          <a:off x="2105025" y="46577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54" name="Line 54"/>
        <xdr:cNvSpPr>
          <a:spLocks/>
        </xdr:cNvSpPr>
      </xdr:nvSpPr>
      <xdr:spPr>
        <a:xfrm>
          <a:off x="1943100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152400</xdr:colOff>
      <xdr:row>35</xdr:row>
      <xdr:rowOff>0</xdr:rowOff>
    </xdr:from>
    <xdr:to>
      <xdr:col>6</xdr:col>
      <xdr:colOff>161925</xdr:colOff>
      <xdr:row>35</xdr:row>
      <xdr:rowOff>0</xdr:rowOff>
    </xdr:to>
    <xdr:sp>
      <xdr:nvSpPr>
        <xdr:cNvPr id="55" name="Line 55"/>
        <xdr:cNvSpPr>
          <a:spLocks/>
        </xdr:cNvSpPr>
      </xdr:nvSpPr>
      <xdr:spPr>
        <a:xfrm>
          <a:off x="1771650" y="500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57150</xdr:colOff>
      <xdr:row>36</xdr:row>
      <xdr:rowOff>0</xdr:rowOff>
    </xdr:from>
    <xdr:to>
      <xdr:col>7</xdr:col>
      <xdr:colOff>257175</xdr:colOff>
      <xdr:row>36</xdr:row>
      <xdr:rowOff>0</xdr:rowOff>
    </xdr:to>
    <xdr:sp>
      <xdr:nvSpPr>
        <xdr:cNvPr id="56" name="Line 56"/>
        <xdr:cNvSpPr>
          <a:spLocks/>
        </xdr:cNvSpPr>
      </xdr:nvSpPr>
      <xdr:spPr>
        <a:xfrm>
          <a:off x="1028700" y="514350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0</xdr:colOff>
      <xdr:row>37</xdr:row>
      <xdr:rowOff>0</xdr:rowOff>
    </xdr:from>
    <xdr:to>
      <xdr:col>13</xdr:col>
      <xdr:colOff>152400</xdr:colOff>
      <xdr:row>37</xdr:row>
      <xdr:rowOff>0</xdr:rowOff>
    </xdr:to>
    <xdr:sp>
      <xdr:nvSpPr>
        <xdr:cNvPr id="57" name="Line 57"/>
        <xdr:cNvSpPr>
          <a:spLocks/>
        </xdr:cNvSpPr>
      </xdr:nvSpPr>
      <xdr:spPr>
        <a:xfrm>
          <a:off x="3886200" y="52863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95250</xdr:rowOff>
    </xdr:to>
    <xdr:sp>
      <xdr:nvSpPr>
        <xdr:cNvPr id="58" name="Line 58"/>
        <xdr:cNvSpPr>
          <a:spLocks/>
        </xdr:cNvSpPr>
      </xdr:nvSpPr>
      <xdr:spPr>
        <a:xfrm flipV="1">
          <a:off x="3886200" y="34290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24</xdr:row>
      <xdr:rowOff>95250</xdr:rowOff>
    </xdr:to>
    <xdr:sp>
      <xdr:nvSpPr>
        <xdr:cNvPr id="59" name="Line 59"/>
        <xdr:cNvSpPr>
          <a:spLocks/>
        </xdr:cNvSpPr>
      </xdr:nvSpPr>
      <xdr:spPr>
        <a:xfrm flipV="1">
          <a:off x="4210050" y="34290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16</xdr:col>
      <xdr:colOff>0</xdr:colOff>
      <xdr:row>24</xdr:row>
      <xdr:rowOff>95250</xdr:rowOff>
    </xdr:to>
    <xdr:sp>
      <xdr:nvSpPr>
        <xdr:cNvPr id="60" name="Line 60"/>
        <xdr:cNvSpPr>
          <a:spLocks/>
        </xdr:cNvSpPr>
      </xdr:nvSpPr>
      <xdr:spPr>
        <a:xfrm flipV="1">
          <a:off x="5181600" y="34290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95250</xdr:rowOff>
    </xdr:to>
    <xdr:sp>
      <xdr:nvSpPr>
        <xdr:cNvPr id="61" name="Line 61"/>
        <xdr:cNvSpPr>
          <a:spLocks/>
        </xdr:cNvSpPr>
      </xdr:nvSpPr>
      <xdr:spPr>
        <a:xfrm flipV="1">
          <a:off x="5505450" y="34290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38100</xdr:rowOff>
    </xdr:from>
    <xdr:to>
      <xdr:col>13</xdr:col>
      <xdr:colOff>0</xdr:colOff>
      <xdr:row>24</xdr:row>
      <xdr:rowOff>38100</xdr:rowOff>
    </xdr:to>
    <xdr:sp>
      <xdr:nvSpPr>
        <xdr:cNvPr id="62" name="Line 62"/>
        <xdr:cNvSpPr>
          <a:spLocks/>
        </xdr:cNvSpPr>
      </xdr:nvSpPr>
      <xdr:spPr>
        <a:xfrm>
          <a:off x="3886200" y="34671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38100</xdr:rowOff>
    </xdr:from>
    <xdr:to>
      <xdr:col>17</xdr:col>
      <xdr:colOff>0</xdr:colOff>
      <xdr:row>24</xdr:row>
      <xdr:rowOff>38100</xdr:rowOff>
    </xdr:to>
    <xdr:sp>
      <xdr:nvSpPr>
        <xdr:cNvPr id="63" name="Line 63"/>
        <xdr:cNvSpPr>
          <a:spLocks/>
        </xdr:cNvSpPr>
      </xdr:nvSpPr>
      <xdr:spPr>
        <a:xfrm>
          <a:off x="5181600" y="34671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18</xdr:col>
      <xdr:colOff>38100</xdr:colOff>
      <xdr:row>26</xdr:row>
      <xdr:rowOff>0</xdr:rowOff>
    </xdr:to>
    <xdr:sp>
      <xdr:nvSpPr>
        <xdr:cNvPr id="64" name="Line 64"/>
        <xdr:cNvSpPr>
          <a:spLocks/>
        </xdr:cNvSpPr>
      </xdr:nvSpPr>
      <xdr:spPr>
        <a:xfrm flipH="1">
          <a:off x="5505450" y="3714750"/>
          <a:ext cx="361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27</xdr:row>
      <xdr:rowOff>0</xdr:rowOff>
    </xdr:to>
    <xdr:sp>
      <xdr:nvSpPr>
        <xdr:cNvPr id="65" name="Line 65"/>
        <xdr:cNvSpPr>
          <a:spLocks/>
        </xdr:cNvSpPr>
      </xdr:nvSpPr>
      <xdr:spPr>
        <a:xfrm>
          <a:off x="5829300" y="37147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57150</xdr:colOff>
      <xdr:row>25</xdr:row>
      <xdr:rowOff>0</xdr:rowOff>
    </xdr:from>
    <xdr:to>
      <xdr:col>19</xdr:col>
      <xdr:colOff>38100</xdr:colOff>
      <xdr:row>25</xdr:row>
      <xdr:rowOff>0</xdr:rowOff>
    </xdr:to>
    <xdr:sp>
      <xdr:nvSpPr>
        <xdr:cNvPr id="66" name="Line 66"/>
        <xdr:cNvSpPr>
          <a:spLocks/>
        </xdr:cNvSpPr>
      </xdr:nvSpPr>
      <xdr:spPr>
        <a:xfrm>
          <a:off x="5562600" y="35718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209550</xdr:colOff>
      <xdr:row>27</xdr:row>
      <xdr:rowOff>0</xdr:rowOff>
    </xdr:from>
    <xdr:to>
      <xdr:col>19</xdr:col>
      <xdr:colOff>47625</xdr:colOff>
      <xdr:row>27</xdr:row>
      <xdr:rowOff>0</xdr:rowOff>
    </xdr:to>
    <xdr:sp>
      <xdr:nvSpPr>
        <xdr:cNvPr id="67" name="Line 67"/>
        <xdr:cNvSpPr>
          <a:spLocks/>
        </xdr:cNvSpPr>
      </xdr:nvSpPr>
      <xdr:spPr>
        <a:xfrm>
          <a:off x="5715000" y="38576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27</xdr:row>
      <xdr:rowOff>0</xdr:rowOff>
    </xdr:to>
    <xdr:sp>
      <xdr:nvSpPr>
        <xdr:cNvPr id="68" name="Line 68"/>
        <xdr:cNvSpPr>
          <a:spLocks/>
        </xdr:cNvSpPr>
      </xdr:nvSpPr>
      <xdr:spPr>
        <a:xfrm flipV="1">
          <a:off x="6153150" y="35718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22</xdr:col>
      <xdr:colOff>0</xdr:colOff>
      <xdr:row>14</xdr:row>
      <xdr:rowOff>0</xdr:rowOff>
    </xdr:from>
    <xdr:to>
      <xdr:col>25</xdr:col>
      <xdr:colOff>0</xdr:colOff>
      <xdr:row>15</xdr:row>
      <xdr:rowOff>9525</xdr:rowOff>
    </xdr:to>
    <xdr:pic>
      <xdr:nvPicPr>
        <xdr:cNvPr id="69" name="ComboBox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2000250"/>
          <a:ext cx="6000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0</xdr:colOff>
      <xdr:row>35</xdr:row>
      <xdr:rowOff>0</xdr:rowOff>
    </xdr:from>
    <xdr:to>
      <xdr:col>12</xdr:col>
      <xdr:colOff>0</xdr:colOff>
      <xdr:row>36</xdr:row>
      <xdr:rowOff>9525</xdr:rowOff>
    </xdr:to>
    <xdr:pic>
      <xdr:nvPicPr>
        <xdr:cNvPr id="70" name="ComboBox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14650" y="5000625"/>
          <a:ext cx="97155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0</xdr:colOff>
      <xdr:row>35</xdr:row>
      <xdr:rowOff>0</xdr:rowOff>
    </xdr:from>
    <xdr:to>
      <xdr:col>20</xdr:col>
      <xdr:colOff>238125</xdr:colOff>
      <xdr:row>36</xdr:row>
      <xdr:rowOff>9525</xdr:rowOff>
    </xdr:to>
    <xdr:pic>
      <xdr:nvPicPr>
        <xdr:cNvPr id="71" name="ComboBox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29300" y="5000625"/>
          <a:ext cx="88582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0</xdr:colOff>
      <xdr:row>36</xdr:row>
      <xdr:rowOff>0</xdr:rowOff>
    </xdr:from>
    <xdr:to>
      <xdr:col>21</xdr:col>
      <xdr:colOff>0</xdr:colOff>
      <xdr:row>37</xdr:row>
      <xdr:rowOff>9525</xdr:rowOff>
    </xdr:to>
    <xdr:pic>
      <xdr:nvPicPr>
        <xdr:cNvPr id="72" name="ComboBox7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29300" y="5143500"/>
          <a:ext cx="97155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0</xdr:colOff>
      <xdr:row>32</xdr:row>
      <xdr:rowOff>0</xdr:rowOff>
    </xdr:from>
    <xdr:to>
      <xdr:col>11</xdr:col>
      <xdr:colOff>0</xdr:colOff>
      <xdr:row>33</xdr:row>
      <xdr:rowOff>9525</xdr:rowOff>
    </xdr:to>
    <xdr:pic>
      <xdr:nvPicPr>
        <xdr:cNvPr id="73" name="ComboBox7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14650" y="457200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9525</xdr:rowOff>
    </xdr:to>
    <xdr:pic>
      <xdr:nvPicPr>
        <xdr:cNvPr id="74" name="ComboBox7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14650" y="4714875"/>
          <a:ext cx="51435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12</xdr:col>
      <xdr:colOff>266700</xdr:colOff>
      <xdr:row>28</xdr:row>
      <xdr:rowOff>38100</xdr:rowOff>
    </xdr:from>
    <xdr:to>
      <xdr:col>12</xdr:col>
      <xdr:colOff>266700</xdr:colOff>
      <xdr:row>34</xdr:row>
      <xdr:rowOff>28575</xdr:rowOff>
    </xdr:to>
    <xdr:sp>
      <xdr:nvSpPr>
        <xdr:cNvPr id="75" name="Line 76"/>
        <xdr:cNvSpPr>
          <a:spLocks/>
        </xdr:cNvSpPr>
      </xdr:nvSpPr>
      <xdr:spPr>
        <a:xfrm>
          <a:off x="4152900" y="40386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85725</xdr:rowOff>
    </xdr:from>
    <xdr:to>
      <xdr:col>13</xdr:col>
      <xdr:colOff>0</xdr:colOff>
      <xdr:row>34</xdr:row>
      <xdr:rowOff>28575</xdr:rowOff>
    </xdr:to>
    <xdr:sp>
      <xdr:nvSpPr>
        <xdr:cNvPr id="76" name="Line 77"/>
        <xdr:cNvSpPr>
          <a:spLocks/>
        </xdr:cNvSpPr>
      </xdr:nvSpPr>
      <xdr:spPr>
        <a:xfrm>
          <a:off x="4210050" y="422910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13</xdr:col>
      <xdr:colOff>114300</xdr:colOff>
      <xdr:row>34</xdr:row>
      <xdr:rowOff>0</xdr:rowOff>
    </xdr:to>
    <xdr:sp>
      <xdr:nvSpPr>
        <xdr:cNvPr id="77" name="Line 78"/>
        <xdr:cNvSpPr>
          <a:spLocks/>
        </xdr:cNvSpPr>
      </xdr:nvSpPr>
      <xdr:spPr>
        <a:xfrm flipH="1">
          <a:off x="4210050" y="48577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266700</xdr:colOff>
      <xdr:row>34</xdr:row>
      <xdr:rowOff>0</xdr:rowOff>
    </xdr:to>
    <xdr:sp>
      <xdr:nvSpPr>
        <xdr:cNvPr id="78" name="Line 79"/>
        <xdr:cNvSpPr>
          <a:spLocks/>
        </xdr:cNvSpPr>
      </xdr:nvSpPr>
      <xdr:spPr>
        <a:xfrm>
          <a:off x="3886200" y="48577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0</xdr:colOff>
      <xdr:row>24</xdr:row>
      <xdr:rowOff>0</xdr:rowOff>
    </xdr:from>
    <xdr:to>
      <xdr:col>18</xdr:col>
      <xdr:colOff>0</xdr:colOff>
      <xdr:row>25</xdr:row>
      <xdr:rowOff>0</xdr:rowOff>
    </xdr:to>
    <xdr:sp>
      <xdr:nvSpPr>
        <xdr:cNvPr id="79" name="Line 80"/>
        <xdr:cNvSpPr>
          <a:spLocks/>
        </xdr:cNvSpPr>
      </xdr:nvSpPr>
      <xdr:spPr>
        <a:xfrm>
          <a:off x="5829300" y="34290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0</xdr:colOff>
      <xdr:row>25</xdr:row>
      <xdr:rowOff>0</xdr:rowOff>
    </xdr:from>
    <xdr:to>
      <xdr:col>18</xdr:col>
      <xdr:colOff>0</xdr:colOff>
      <xdr:row>26</xdr:row>
      <xdr:rowOff>0</xdr:rowOff>
    </xdr:to>
    <xdr:sp>
      <xdr:nvSpPr>
        <xdr:cNvPr id="80" name="Line 81"/>
        <xdr:cNvSpPr>
          <a:spLocks/>
        </xdr:cNvSpPr>
      </xdr:nvSpPr>
      <xdr:spPr>
        <a:xfrm>
          <a:off x="5829300" y="35718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81" name="Line 82"/>
        <xdr:cNvSpPr>
          <a:spLocks/>
        </xdr:cNvSpPr>
      </xdr:nvSpPr>
      <xdr:spPr>
        <a:xfrm>
          <a:off x="5829300" y="34290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238125</xdr:colOff>
      <xdr:row>52</xdr:row>
      <xdr:rowOff>0</xdr:rowOff>
    </xdr:from>
    <xdr:to>
      <xdr:col>12</xdr:col>
      <xdr:colOff>0</xdr:colOff>
      <xdr:row>53</xdr:row>
      <xdr:rowOff>0</xdr:rowOff>
    </xdr:to>
    <xdr:grpSp>
      <xdr:nvGrpSpPr>
        <xdr:cNvPr id="82" name="Group 83"/>
        <xdr:cNvGrpSpPr>
          <a:grpSpLocks/>
        </xdr:cNvGrpSpPr>
      </xdr:nvGrpSpPr>
      <xdr:grpSpPr>
        <a:xfrm>
          <a:off x="1857375" y="7429500"/>
          <a:ext cx="2028825" cy="142875"/>
          <a:chOff x="195" y="780"/>
          <a:chExt cx="213" cy="15"/>
        </a:xfrm>
        <a:solidFill>
          <a:srgbClr val="FFFFFF"/>
        </a:solidFill>
      </xdr:grpSpPr>
      <xdr:sp>
        <xdr:nvSpPr>
          <xdr:cNvPr id="83" name="Line 84"/>
          <xdr:cNvSpPr>
            <a:spLocks/>
          </xdr:cNvSpPr>
        </xdr:nvSpPr>
        <xdr:spPr>
          <a:xfrm>
            <a:off x="204" y="780"/>
            <a:ext cx="2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4" name="Line 85"/>
          <xdr:cNvSpPr>
            <a:spLocks/>
          </xdr:cNvSpPr>
        </xdr:nvSpPr>
        <xdr:spPr>
          <a:xfrm flipH="1">
            <a:off x="197" y="780"/>
            <a:ext cx="7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5" name="Line 86"/>
          <xdr:cNvSpPr>
            <a:spLocks/>
          </xdr:cNvSpPr>
        </xdr:nvSpPr>
        <xdr:spPr>
          <a:xfrm flipH="1" flipV="1">
            <a:off x="195" y="790"/>
            <a:ext cx="2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25</xdr:row>
      <xdr:rowOff>0</xdr:rowOff>
    </xdr:from>
    <xdr:to>
      <xdr:col>17</xdr:col>
      <xdr:colOff>171450</xdr:colOff>
      <xdr:row>28</xdr:row>
      <xdr:rowOff>0</xdr:rowOff>
    </xdr:to>
    <xdr:grpSp>
      <xdr:nvGrpSpPr>
        <xdr:cNvPr id="86" name="Group 87"/>
        <xdr:cNvGrpSpPr>
          <a:grpSpLocks/>
        </xdr:cNvGrpSpPr>
      </xdr:nvGrpSpPr>
      <xdr:grpSpPr>
        <a:xfrm>
          <a:off x="5181600" y="3571875"/>
          <a:ext cx="495300" cy="428625"/>
          <a:chOff x="544" y="375"/>
          <a:chExt cx="52" cy="45"/>
        </a:xfrm>
        <a:solidFill>
          <a:srgbClr val="FFFFFF"/>
        </a:solidFill>
      </xdr:grpSpPr>
      <xdr:sp>
        <xdr:nvSpPr>
          <xdr:cNvPr id="87" name="Rectangle 88"/>
          <xdr:cNvSpPr>
            <a:spLocks/>
          </xdr:cNvSpPr>
        </xdr:nvSpPr>
        <xdr:spPr>
          <a:xfrm>
            <a:off x="544" y="375"/>
            <a:ext cx="34" cy="3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8" name="Rectangle 89"/>
          <xdr:cNvSpPr>
            <a:spLocks/>
          </xdr:cNvSpPr>
        </xdr:nvSpPr>
        <xdr:spPr>
          <a:xfrm>
            <a:off x="544" y="385"/>
            <a:ext cx="34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9" name="Line 90"/>
          <xdr:cNvSpPr>
            <a:spLocks/>
          </xdr:cNvSpPr>
        </xdr:nvSpPr>
        <xdr:spPr>
          <a:xfrm>
            <a:off x="544" y="405"/>
            <a:ext cx="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0" name="Line 91"/>
          <xdr:cNvSpPr>
            <a:spLocks/>
          </xdr:cNvSpPr>
        </xdr:nvSpPr>
        <xdr:spPr>
          <a:xfrm>
            <a:off x="544" y="405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1" name="Line 92"/>
          <xdr:cNvSpPr>
            <a:spLocks/>
          </xdr:cNvSpPr>
        </xdr:nvSpPr>
        <xdr:spPr>
          <a:xfrm>
            <a:off x="544" y="420"/>
            <a:ext cx="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2" name="AutoShape 93"/>
          <xdr:cNvSpPr>
            <a:spLocks/>
          </xdr:cNvSpPr>
        </xdr:nvSpPr>
        <xdr:spPr>
          <a:xfrm>
            <a:off x="593" y="405"/>
            <a:ext cx="3" cy="15"/>
          </a:xfrm>
          <a:custGeom>
            <a:pathLst>
              <a:path h="15" w="3">
                <a:moveTo>
                  <a:pt x="1" y="0"/>
                </a:moveTo>
                <a:cubicBezTo>
                  <a:pt x="0" y="1"/>
                  <a:pt x="0" y="3"/>
                  <a:pt x="0" y="4"/>
                </a:cubicBezTo>
                <a:cubicBezTo>
                  <a:pt x="0" y="5"/>
                  <a:pt x="3" y="7"/>
                  <a:pt x="3" y="9"/>
                </a:cubicBezTo>
                <a:cubicBezTo>
                  <a:pt x="3" y="11"/>
                  <a:pt x="2" y="13"/>
                  <a:pt x="1" y="15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3" name="AutoShape 94"/>
          <xdr:cNvSpPr>
            <a:spLocks/>
          </xdr:cNvSpPr>
        </xdr:nvSpPr>
        <xdr:spPr>
          <a:xfrm>
            <a:off x="544" y="397"/>
            <a:ext cx="7" cy="8"/>
          </a:xfrm>
          <a:prstGeom prst="rtTriangl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4" name="AutoShape 95"/>
          <xdr:cNvSpPr>
            <a:spLocks/>
          </xdr:cNvSpPr>
        </xdr:nvSpPr>
        <xdr:spPr>
          <a:xfrm flipH="1">
            <a:off x="571" y="397"/>
            <a:ext cx="7" cy="8"/>
          </a:xfrm>
          <a:prstGeom prst="rtTriangl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28</xdr:row>
      <xdr:rowOff>66675</xdr:rowOff>
    </xdr:from>
    <xdr:to>
      <xdr:col>16</xdr:col>
      <xdr:colOff>0</xdr:colOff>
      <xdr:row>31</xdr:row>
      <xdr:rowOff>38100</xdr:rowOff>
    </xdr:to>
    <xdr:sp>
      <xdr:nvSpPr>
        <xdr:cNvPr id="95" name="Line 96"/>
        <xdr:cNvSpPr>
          <a:spLocks/>
        </xdr:cNvSpPr>
      </xdr:nvSpPr>
      <xdr:spPr>
        <a:xfrm>
          <a:off x="5181600" y="40671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57150</xdr:rowOff>
    </xdr:from>
    <xdr:to>
      <xdr:col>17</xdr:col>
      <xdr:colOff>0</xdr:colOff>
      <xdr:row>31</xdr:row>
      <xdr:rowOff>38100</xdr:rowOff>
    </xdr:to>
    <xdr:sp>
      <xdr:nvSpPr>
        <xdr:cNvPr id="96" name="Line 97"/>
        <xdr:cNvSpPr>
          <a:spLocks/>
        </xdr:cNvSpPr>
      </xdr:nvSpPr>
      <xdr:spPr>
        <a:xfrm>
          <a:off x="5505450" y="39147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16</xdr:col>
      <xdr:colOff>266700</xdr:colOff>
      <xdr:row>27</xdr:row>
      <xdr:rowOff>57150</xdr:rowOff>
    </xdr:from>
    <xdr:to>
      <xdr:col>16</xdr:col>
      <xdr:colOff>266700</xdr:colOff>
      <xdr:row>31</xdr:row>
      <xdr:rowOff>47625</xdr:rowOff>
    </xdr:to>
    <xdr:sp>
      <xdr:nvSpPr>
        <xdr:cNvPr id="97" name="Line 98"/>
        <xdr:cNvSpPr>
          <a:spLocks/>
        </xdr:cNvSpPr>
      </xdr:nvSpPr>
      <xdr:spPr>
        <a:xfrm>
          <a:off x="5448300" y="39147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16</xdr:col>
      <xdr:colOff>57150</xdr:colOff>
      <xdr:row>27</xdr:row>
      <xdr:rowOff>57150</xdr:rowOff>
    </xdr:from>
    <xdr:to>
      <xdr:col>16</xdr:col>
      <xdr:colOff>57150</xdr:colOff>
      <xdr:row>31</xdr:row>
      <xdr:rowOff>38100</xdr:rowOff>
    </xdr:to>
    <xdr:sp>
      <xdr:nvSpPr>
        <xdr:cNvPr id="98" name="Line 99"/>
        <xdr:cNvSpPr>
          <a:spLocks/>
        </xdr:cNvSpPr>
      </xdr:nvSpPr>
      <xdr:spPr>
        <a:xfrm>
          <a:off x="5238750" y="39147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16</xdr:col>
      <xdr:colOff>47625</xdr:colOff>
      <xdr:row>31</xdr:row>
      <xdr:rowOff>0</xdr:rowOff>
    </xdr:from>
    <xdr:to>
      <xdr:col>16</xdr:col>
      <xdr:colOff>257175</xdr:colOff>
      <xdr:row>31</xdr:row>
      <xdr:rowOff>0</xdr:rowOff>
    </xdr:to>
    <xdr:sp>
      <xdr:nvSpPr>
        <xdr:cNvPr id="99" name="Line 100"/>
        <xdr:cNvSpPr>
          <a:spLocks/>
        </xdr:cNvSpPr>
      </xdr:nvSpPr>
      <xdr:spPr>
        <a:xfrm>
          <a:off x="5229225" y="44291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0</xdr:colOff>
      <xdr:row>31</xdr:row>
      <xdr:rowOff>0</xdr:rowOff>
    </xdr:from>
    <xdr:to>
      <xdr:col>16</xdr:col>
      <xdr:colOff>0</xdr:colOff>
      <xdr:row>31</xdr:row>
      <xdr:rowOff>0</xdr:rowOff>
    </xdr:to>
    <xdr:sp>
      <xdr:nvSpPr>
        <xdr:cNvPr id="100" name="Line 101"/>
        <xdr:cNvSpPr>
          <a:spLocks/>
        </xdr:cNvSpPr>
      </xdr:nvSpPr>
      <xdr:spPr>
        <a:xfrm>
          <a:off x="4857750" y="44291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18</xdr:col>
      <xdr:colOff>0</xdr:colOff>
      <xdr:row>31</xdr:row>
      <xdr:rowOff>0</xdr:rowOff>
    </xdr:to>
    <xdr:sp>
      <xdr:nvSpPr>
        <xdr:cNvPr id="101" name="Line 102"/>
        <xdr:cNvSpPr>
          <a:spLocks/>
        </xdr:cNvSpPr>
      </xdr:nvSpPr>
      <xdr:spPr>
        <a:xfrm flipH="1">
          <a:off x="5505450" y="44291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22</xdr:col>
      <xdr:colOff>0</xdr:colOff>
      <xdr:row>15</xdr:row>
      <xdr:rowOff>0</xdr:rowOff>
    </xdr:from>
    <xdr:to>
      <xdr:col>25</xdr:col>
      <xdr:colOff>0</xdr:colOff>
      <xdr:row>16</xdr:row>
      <xdr:rowOff>9525</xdr:rowOff>
    </xdr:to>
    <xdr:pic>
      <xdr:nvPicPr>
        <xdr:cNvPr id="102" name="ComboBox7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124700" y="2143125"/>
          <a:ext cx="6000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22</xdr:col>
      <xdr:colOff>0</xdr:colOff>
      <xdr:row>16</xdr:row>
      <xdr:rowOff>0</xdr:rowOff>
    </xdr:from>
    <xdr:to>
      <xdr:col>26</xdr:col>
      <xdr:colOff>0</xdr:colOff>
      <xdr:row>17</xdr:row>
      <xdr:rowOff>9525</xdr:rowOff>
    </xdr:to>
    <xdr:pic>
      <xdr:nvPicPr>
        <xdr:cNvPr id="103" name="ComboBox7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24700" y="2286000"/>
          <a:ext cx="8001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27</xdr:col>
      <xdr:colOff>123825</xdr:colOff>
      <xdr:row>7</xdr:row>
      <xdr:rowOff>0</xdr:rowOff>
    </xdr:from>
    <xdr:to>
      <xdr:col>36</xdr:col>
      <xdr:colOff>0</xdr:colOff>
      <xdr:row>8</xdr:row>
      <xdr:rowOff>0</xdr:rowOff>
    </xdr:to>
    <xdr:grpSp>
      <xdr:nvGrpSpPr>
        <xdr:cNvPr id="104" name="Group 105"/>
        <xdr:cNvGrpSpPr>
          <a:grpSpLocks/>
        </xdr:cNvGrpSpPr>
      </xdr:nvGrpSpPr>
      <xdr:grpSpPr>
        <a:xfrm>
          <a:off x="8248650" y="1000125"/>
          <a:ext cx="1676400" cy="142875"/>
          <a:chOff x="908" y="105"/>
          <a:chExt cx="176" cy="15"/>
        </a:xfrm>
        <a:solidFill>
          <a:srgbClr val="FFFFFF"/>
        </a:solidFill>
      </xdr:grpSpPr>
      <xdr:sp>
        <xdr:nvSpPr>
          <xdr:cNvPr id="105" name="Line 106"/>
          <xdr:cNvSpPr>
            <a:spLocks/>
          </xdr:cNvSpPr>
        </xdr:nvSpPr>
        <xdr:spPr>
          <a:xfrm>
            <a:off x="916" y="105"/>
            <a:ext cx="16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6" name="Line 107"/>
          <xdr:cNvSpPr>
            <a:spLocks/>
          </xdr:cNvSpPr>
        </xdr:nvSpPr>
        <xdr:spPr>
          <a:xfrm flipH="1">
            <a:off x="911" y="105"/>
            <a:ext cx="5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7" name="Line 108"/>
          <xdr:cNvSpPr>
            <a:spLocks/>
          </xdr:cNvSpPr>
        </xdr:nvSpPr>
        <xdr:spPr>
          <a:xfrm flipH="1" flipV="1">
            <a:off x="908" y="115"/>
            <a:ext cx="3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27</xdr:col>
      <xdr:colOff>123825</xdr:colOff>
      <xdr:row>8</xdr:row>
      <xdr:rowOff>0</xdr:rowOff>
    </xdr:from>
    <xdr:to>
      <xdr:col>36</xdr:col>
      <xdr:colOff>0</xdr:colOff>
      <xdr:row>9</xdr:row>
      <xdr:rowOff>0</xdr:rowOff>
    </xdr:to>
    <xdr:grpSp>
      <xdr:nvGrpSpPr>
        <xdr:cNvPr id="108" name="Group 109"/>
        <xdr:cNvGrpSpPr>
          <a:grpSpLocks/>
        </xdr:cNvGrpSpPr>
      </xdr:nvGrpSpPr>
      <xdr:grpSpPr>
        <a:xfrm>
          <a:off x="8248650" y="1143000"/>
          <a:ext cx="1676400" cy="142875"/>
          <a:chOff x="908" y="105"/>
          <a:chExt cx="176" cy="15"/>
        </a:xfrm>
        <a:solidFill>
          <a:srgbClr val="FFFFFF"/>
        </a:solidFill>
      </xdr:grpSpPr>
      <xdr:sp>
        <xdr:nvSpPr>
          <xdr:cNvPr id="109" name="Line 110"/>
          <xdr:cNvSpPr>
            <a:spLocks/>
          </xdr:cNvSpPr>
        </xdr:nvSpPr>
        <xdr:spPr>
          <a:xfrm>
            <a:off x="916" y="105"/>
            <a:ext cx="16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0" name="Line 111"/>
          <xdr:cNvSpPr>
            <a:spLocks/>
          </xdr:cNvSpPr>
        </xdr:nvSpPr>
        <xdr:spPr>
          <a:xfrm flipH="1">
            <a:off x="911" y="105"/>
            <a:ext cx="5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1" name="Line 112"/>
          <xdr:cNvSpPr>
            <a:spLocks/>
          </xdr:cNvSpPr>
        </xdr:nvSpPr>
        <xdr:spPr>
          <a:xfrm flipH="1" flipV="1">
            <a:off x="908" y="115"/>
            <a:ext cx="3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 editAs="oneCell">
    <xdr:from>
      <xdr:col>21</xdr:col>
      <xdr:colOff>123825</xdr:colOff>
      <xdr:row>10</xdr:row>
      <xdr:rowOff>0</xdr:rowOff>
    </xdr:from>
    <xdr:to>
      <xdr:col>24</xdr:col>
      <xdr:colOff>0</xdr:colOff>
      <xdr:row>11</xdr:row>
      <xdr:rowOff>9525</xdr:rowOff>
    </xdr:to>
    <xdr:pic>
      <xdr:nvPicPr>
        <xdr:cNvPr id="112" name="ComboBox1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924675" y="1428750"/>
          <a:ext cx="6000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24</xdr:col>
      <xdr:colOff>0</xdr:colOff>
      <xdr:row>10</xdr:row>
      <xdr:rowOff>0</xdr:rowOff>
    </xdr:from>
    <xdr:to>
      <xdr:col>27</xdr:col>
      <xdr:colOff>0</xdr:colOff>
      <xdr:row>11</xdr:row>
      <xdr:rowOff>9525</xdr:rowOff>
    </xdr:to>
    <xdr:pic>
      <xdr:nvPicPr>
        <xdr:cNvPr id="113" name="ComboBox14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24750" y="1428750"/>
          <a:ext cx="6000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16</xdr:row>
      <xdr:rowOff>0</xdr:rowOff>
    </xdr:from>
    <xdr:to>
      <xdr:col>7</xdr:col>
      <xdr:colOff>0</xdr:colOff>
      <xdr:row>17</xdr:row>
      <xdr:rowOff>9525</xdr:rowOff>
    </xdr:to>
    <xdr:pic>
      <xdr:nvPicPr>
        <xdr:cNvPr id="114" name="ComboBox14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5400" y="2286000"/>
          <a:ext cx="97155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15</xdr:row>
      <xdr:rowOff>0</xdr:rowOff>
    </xdr:from>
    <xdr:to>
      <xdr:col>7</xdr:col>
      <xdr:colOff>0</xdr:colOff>
      <xdr:row>16</xdr:row>
      <xdr:rowOff>9525</xdr:rowOff>
    </xdr:to>
    <xdr:pic>
      <xdr:nvPicPr>
        <xdr:cNvPr id="115" name="ComboBox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95400" y="2143125"/>
          <a:ext cx="97155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0</xdr:colOff>
      <xdr:row>11</xdr:row>
      <xdr:rowOff>0</xdr:rowOff>
    </xdr:from>
    <xdr:to>
      <xdr:col>11</xdr:col>
      <xdr:colOff>0</xdr:colOff>
      <xdr:row>12</xdr:row>
      <xdr:rowOff>9525</xdr:rowOff>
    </xdr:to>
    <xdr:pic>
      <xdr:nvPicPr>
        <xdr:cNvPr id="116" name="ComboBox2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914650" y="157162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0</xdr:colOff>
      <xdr:row>12</xdr:row>
      <xdr:rowOff>0</xdr:rowOff>
    </xdr:from>
    <xdr:to>
      <xdr:col>10</xdr:col>
      <xdr:colOff>171450</xdr:colOff>
      <xdr:row>13</xdr:row>
      <xdr:rowOff>19050</xdr:rowOff>
    </xdr:to>
    <xdr:pic>
      <xdr:nvPicPr>
        <xdr:cNvPr id="117" name="ComboBox2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914650" y="1714500"/>
          <a:ext cx="49530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11</xdr:row>
      <xdr:rowOff>0</xdr:rowOff>
    </xdr:from>
    <xdr:to>
      <xdr:col>17</xdr:col>
      <xdr:colOff>0</xdr:colOff>
      <xdr:row>12</xdr:row>
      <xdr:rowOff>9525</xdr:rowOff>
    </xdr:to>
    <xdr:pic>
      <xdr:nvPicPr>
        <xdr:cNvPr id="118" name="ComboBox33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57750" y="157162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35</xdr:row>
      <xdr:rowOff>85725</xdr:rowOff>
    </xdr:from>
    <xdr:to>
      <xdr:col>4</xdr:col>
      <xdr:colOff>0</xdr:colOff>
      <xdr:row>50</xdr:row>
      <xdr:rowOff>38100</xdr:rowOff>
    </xdr:to>
    <xdr:sp>
      <xdr:nvSpPr>
        <xdr:cNvPr id="1" name="Line 2"/>
        <xdr:cNvSpPr>
          <a:spLocks/>
        </xdr:cNvSpPr>
      </xdr:nvSpPr>
      <xdr:spPr>
        <a:xfrm>
          <a:off x="800100" y="4419600"/>
          <a:ext cx="0" cy="1809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85725</xdr:rowOff>
    </xdr:from>
    <xdr:to>
      <xdr:col>12</xdr:col>
      <xdr:colOff>0</xdr:colOff>
      <xdr:row>35</xdr:row>
      <xdr:rowOff>85725</xdr:rowOff>
    </xdr:to>
    <xdr:sp>
      <xdr:nvSpPr>
        <xdr:cNvPr id="2" name="Line 3"/>
        <xdr:cNvSpPr>
          <a:spLocks/>
        </xdr:cNvSpPr>
      </xdr:nvSpPr>
      <xdr:spPr>
        <a:xfrm>
          <a:off x="800100" y="4419600"/>
          <a:ext cx="1600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>
      <xdr:nvSpPr>
        <xdr:cNvPr id="3" name="Line 4"/>
        <xdr:cNvSpPr>
          <a:spLocks/>
        </xdr:cNvSpPr>
      </xdr:nvSpPr>
      <xdr:spPr>
        <a:xfrm>
          <a:off x="1000125" y="4581525"/>
          <a:ext cx="1200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49</xdr:row>
      <xdr:rowOff>0</xdr:rowOff>
    </xdr:to>
    <xdr:sp>
      <xdr:nvSpPr>
        <xdr:cNvPr id="4" name="Line 5"/>
        <xdr:cNvSpPr>
          <a:spLocks/>
        </xdr:cNvSpPr>
      </xdr:nvSpPr>
      <xdr:spPr>
        <a:xfrm>
          <a:off x="1000125" y="4581525"/>
          <a:ext cx="0" cy="1485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66675</xdr:rowOff>
    </xdr:from>
    <xdr:to>
      <xdr:col>8</xdr:col>
      <xdr:colOff>0</xdr:colOff>
      <xdr:row>50</xdr:row>
      <xdr:rowOff>57150</xdr:rowOff>
    </xdr:to>
    <xdr:sp>
      <xdr:nvSpPr>
        <xdr:cNvPr id="5" name="Line 8"/>
        <xdr:cNvSpPr>
          <a:spLocks/>
        </xdr:cNvSpPr>
      </xdr:nvSpPr>
      <xdr:spPr>
        <a:xfrm>
          <a:off x="1600200" y="4400550"/>
          <a:ext cx="0" cy="184785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49</xdr:row>
      <xdr:rowOff>0</xdr:rowOff>
    </xdr:to>
    <xdr:sp>
      <xdr:nvSpPr>
        <xdr:cNvPr id="6" name="Line 9"/>
        <xdr:cNvSpPr>
          <a:spLocks/>
        </xdr:cNvSpPr>
      </xdr:nvSpPr>
      <xdr:spPr>
        <a:xfrm>
          <a:off x="2200275" y="4581525"/>
          <a:ext cx="0" cy="1485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85725</xdr:rowOff>
    </xdr:from>
    <xdr:to>
      <xdr:col>12</xdr:col>
      <xdr:colOff>0</xdr:colOff>
      <xdr:row>50</xdr:row>
      <xdr:rowOff>38100</xdr:rowOff>
    </xdr:to>
    <xdr:sp>
      <xdr:nvSpPr>
        <xdr:cNvPr id="7" name="Line 11"/>
        <xdr:cNvSpPr>
          <a:spLocks/>
        </xdr:cNvSpPr>
      </xdr:nvSpPr>
      <xdr:spPr>
        <a:xfrm>
          <a:off x="2400300" y="4419600"/>
          <a:ext cx="0" cy="1809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152400</xdr:colOff>
      <xdr:row>43</xdr:row>
      <xdr:rowOff>0</xdr:rowOff>
    </xdr:from>
    <xdr:to>
      <xdr:col>12</xdr:col>
      <xdr:colOff>57150</xdr:colOff>
      <xdr:row>43</xdr:row>
      <xdr:rowOff>0</xdr:rowOff>
    </xdr:to>
    <xdr:sp>
      <xdr:nvSpPr>
        <xdr:cNvPr id="8" name="Line 12"/>
        <xdr:cNvSpPr>
          <a:spLocks/>
        </xdr:cNvSpPr>
      </xdr:nvSpPr>
      <xdr:spPr>
        <a:xfrm>
          <a:off x="752475" y="532447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>
      <xdr:nvSpPr>
        <xdr:cNvPr id="9" name="Line 13"/>
        <xdr:cNvSpPr>
          <a:spLocks/>
        </xdr:cNvSpPr>
      </xdr:nvSpPr>
      <xdr:spPr>
        <a:xfrm>
          <a:off x="1000125" y="6067425"/>
          <a:ext cx="1200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38100</xdr:rowOff>
    </xdr:from>
    <xdr:to>
      <xdr:col>12</xdr:col>
      <xdr:colOff>0</xdr:colOff>
      <xdr:row>50</xdr:row>
      <xdr:rowOff>38100</xdr:rowOff>
    </xdr:to>
    <xdr:sp>
      <xdr:nvSpPr>
        <xdr:cNvPr id="10" name="Line 14"/>
        <xdr:cNvSpPr>
          <a:spLocks/>
        </xdr:cNvSpPr>
      </xdr:nvSpPr>
      <xdr:spPr>
        <a:xfrm>
          <a:off x="800100" y="6229350"/>
          <a:ext cx="1600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104775</xdr:rowOff>
    </xdr:from>
    <xdr:to>
      <xdr:col>5</xdr:col>
      <xdr:colOff>0</xdr:colOff>
      <xdr:row>35</xdr:row>
      <xdr:rowOff>19050</xdr:rowOff>
    </xdr:to>
    <xdr:sp>
      <xdr:nvSpPr>
        <xdr:cNvPr id="11" name="Line 15"/>
        <xdr:cNvSpPr>
          <a:spLocks/>
        </xdr:cNvSpPr>
      </xdr:nvSpPr>
      <xdr:spPr>
        <a:xfrm flipV="1">
          <a:off x="1000125" y="39433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104775</xdr:rowOff>
    </xdr:from>
    <xdr:to>
      <xdr:col>11</xdr:col>
      <xdr:colOff>0</xdr:colOff>
      <xdr:row>35</xdr:row>
      <xdr:rowOff>19050</xdr:rowOff>
    </xdr:to>
    <xdr:sp>
      <xdr:nvSpPr>
        <xdr:cNvPr id="12" name="Line 16"/>
        <xdr:cNvSpPr>
          <a:spLocks/>
        </xdr:cNvSpPr>
      </xdr:nvSpPr>
      <xdr:spPr>
        <a:xfrm flipV="1">
          <a:off x="2200275" y="39433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76200</xdr:colOff>
      <xdr:row>37</xdr:row>
      <xdr:rowOff>0</xdr:rowOff>
    </xdr:from>
    <xdr:to>
      <xdr:col>15</xdr:col>
      <xdr:colOff>28575</xdr:colOff>
      <xdr:row>37</xdr:row>
      <xdr:rowOff>0</xdr:rowOff>
    </xdr:to>
    <xdr:sp>
      <xdr:nvSpPr>
        <xdr:cNvPr id="13" name="Line 17"/>
        <xdr:cNvSpPr>
          <a:spLocks/>
        </xdr:cNvSpPr>
      </xdr:nvSpPr>
      <xdr:spPr>
        <a:xfrm>
          <a:off x="2476500" y="45815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66675</xdr:colOff>
      <xdr:row>49</xdr:row>
      <xdr:rowOff>0</xdr:rowOff>
    </xdr:from>
    <xdr:to>
      <xdr:col>15</xdr:col>
      <xdr:colOff>28575</xdr:colOff>
      <xdr:row>49</xdr:row>
      <xdr:rowOff>0</xdr:rowOff>
    </xdr:to>
    <xdr:sp>
      <xdr:nvSpPr>
        <xdr:cNvPr id="14" name="Line 18"/>
        <xdr:cNvSpPr>
          <a:spLocks/>
        </xdr:cNvSpPr>
      </xdr:nvSpPr>
      <xdr:spPr>
        <a:xfrm>
          <a:off x="2466975" y="60674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>
      <xdr:nvSpPr>
        <xdr:cNvPr id="15" name="Line 19"/>
        <xdr:cNvSpPr>
          <a:spLocks/>
        </xdr:cNvSpPr>
      </xdr:nvSpPr>
      <xdr:spPr>
        <a:xfrm>
          <a:off x="1000125" y="396240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49</xdr:row>
      <xdr:rowOff>0</xdr:rowOff>
    </xdr:to>
    <xdr:sp>
      <xdr:nvSpPr>
        <xdr:cNvPr id="16" name="Line 20"/>
        <xdr:cNvSpPr>
          <a:spLocks/>
        </xdr:cNvSpPr>
      </xdr:nvSpPr>
      <xdr:spPr>
        <a:xfrm>
          <a:off x="3000375" y="4581525"/>
          <a:ext cx="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85725</xdr:rowOff>
    </xdr:from>
    <xdr:to>
      <xdr:col>17</xdr:col>
      <xdr:colOff>0</xdr:colOff>
      <xdr:row>50</xdr:row>
      <xdr:rowOff>38100</xdr:rowOff>
    </xdr:to>
    <xdr:sp>
      <xdr:nvSpPr>
        <xdr:cNvPr id="17" name="Line 23"/>
        <xdr:cNvSpPr>
          <a:spLocks/>
        </xdr:cNvSpPr>
      </xdr:nvSpPr>
      <xdr:spPr>
        <a:xfrm>
          <a:off x="3400425" y="4419600"/>
          <a:ext cx="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12</xdr:col>
      <xdr:colOff>0</xdr:colOff>
      <xdr:row>30</xdr:row>
      <xdr:rowOff>0</xdr:rowOff>
    </xdr:to>
    <xdr:sp>
      <xdr:nvSpPr>
        <xdr:cNvPr id="18" name="Line 24"/>
        <xdr:cNvSpPr>
          <a:spLocks/>
        </xdr:cNvSpPr>
      </xdr:nvSpPr>
      <xdr:spPr>
        <a:xfrm>
          <a:off x="800100" y="37147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95250</xdr:rowOff>
    </xdr:from>
    <xdr:to>
      <xdr:col>4</xdr:col>
      <xdr:colOff>0</xdr:colOff>
      <xdr:row>30</xdr:row>
      <xdr:rowOff>85725</xdr:rowOff>
    </xdr:to>
    <xdr:sp>
      <xdr:nvSpPr>
        <xdr:cNvPr id="19" name="Line 25"/>
        <xdr:cNvSpPr>
          <a:spLocks/>
        </xdr:cNvSpPr>
      </xdr:nvSpPr>
      <xdr:spPr>
        <a:xfrm flipV="1">
          <a:off x="800100" y="36861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0</xdr:colOff>
      <xdr:row>29</xdr:row>
      <xdr:rowOff>95250</xdr:rowOff>
    </xdr:from>
    <xdr:to>
      <xdr:col>12</xdr:col>
      <xdr:colOff>0</xdr:colOff>
      <xdr:row>30</xdr:row>
      <xdr:rowOff>104775</xdr:rowOff>
    </xdr:to>
    <xdr:sp>
      <xdr:nvSpPr>
        <xdr:cNvPr id="20" name="Line 26"/>
        <xdr:cNvSpPr>
          <a:spLocks/>
        </xdr:cNvSpPr>
      </xdr:nvSpPr>
      <xdr:spPr>
        <a:xfrm flipV="1">
          <a:off x="2400300" y="3686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85725</xdr:colOff>
      <xdr:row>35</xdr:row>
      <xdr:rowOff>85725</xdr:rowOff>
    </xdr:from>
    <xdr:to>
      <xdr:col>17</xdr:col>
      <xdr:colOff>38100</xdr:colOff>
      <xdr:row>35</xdr:row>
      <xdr:rowOff>85725</xdr:rowOff>
    </xdr:to>
    <xdr:sp>
      <xdr:nvSpPr>
        <xdr:cNvPr id="21" name="Line 27"/>
        <xdr:cNvSpPr>
          <a:spLocks/>
        </xdr:cNvSpPr>
      </xdr:nvSpPr>
      <xdr:spPr>
        <a:xfrm>
          <a:off x="2486025" y="44196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76200</xdr:colOff>
      <xdr:row>50</xdr:row>
      <xdr:rowOff>38100</xdr:rowOff>
    </xdr:from>
    <xdr:to>
      <xdr:col>17</xdr:col>
      <xdr:colOff>38100</xdr:colOff>
      <xdr:row>50</xdr:row>
      <xdr:rowOff>38100</xdr:rowOff>
    </xdr:to>
    <xdr:sp>
      <xdr:nvSpPr>
        <xdr:cNvPr id="22" name="Line 28"/>
        <xdr:cNvSpPr>
          <a:spLocks/>
        </xdr:cNvSpPr>
      </xdr:nvSpPr>
      <xdr:spPr>
        <a:xfrm>
          <a:off x="2476500" y="62293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23" name="Line 40"/>
        <xdr:cNvSpPr>
          <a:spLocks/>
        </xdr:cNvSpPr>
      </xdr:nvSpPr>
      <xdr:spPr>
        <a:xfrm>
          <a:off x="1000125" y="42100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11</xdr:col>
      <xdr:colOff>0</xdr:colOff>
      <xdr:row>34</xdr:row>
      <xdr:rowOff>0</xdr:rowOff>
    </xdr:to>
    <xdr:sp>
      <xdr:nvSpPr>
        <xdr:cNvPr id="24" name="Line 41"/>
        <xdr:cNvSpPr>
          <a:spLocks/>
        </xdr:cNvSpPr>
      </xdr:nvSpPr>
      <xdr:spPr>
        <a:xfrm>
          <a:off x="1600200" y="42100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76200</xdr:rowOff>
    </xdr:from>
    <xdr:to>
      <xdr:col>8</xdr:col>
      <xdr:colOff>0</xdr:colOff>
      <xdr:row>35</xdr:row>
      <xdr:rowOff>0</xdr:rowOff>
    </xdr:to>
    <xdr:sp>
      <xdr:nvSpPr>
        <xdr:cNvPr id="25" name="Line 42"/>
        <xdr:cNvSpPr>
          <a:spLocks/>
        </xdr:cNvSpPr>
      </xdr:nvSpPr>
      <xdr:spPr>
        <a:xfrm>
          <a:off x="1600200" y="40386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43</xdr:row>
      <xdr:rowOff>0</xdr:rowOff>
    </xdr:to>
    <xdr:sp>
      <xdr:nvSpPr>
        <xdr:cNvPr id="26" name="Line 43"/>
        <xdr:cNvSpPr>
          <a:spLocks/>
        </xdr:cNvSpPr>
      </xdr:nvSpPr>
      <xdr:spPr>
        <a:xfrm>
          <a:off x="2800350" y="458152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49</xdr:row>
      <xdr:rowOff>0</xdr:rowOff>
    </xdr:to>
    <xdr:sp>
      <xdr:nvSpPr>
        <xdr:cNvPr id="27" name="Line 44"/>
        <xdr:cNvSpPr>
          <a:spLocks/>
        </xdr:cNvSpPr>
      </xdr:nvSpPr>
      <xdr:spPr>
        <a:xfrm>
          <a:off x="2800350" y="532447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114300</xdr:colOff>
      <xdr:row>43</xdr:row>
      <xdr:rowOff>0</xdr:rowOff>
    </xdr:from>
    <xdr:to>
      <xdr:col>14</xdr:col>
      <xdr:colOff>38100</xdr:colOff>
      <xdr:row>43</xdr:row>
      <xdr:rowOff>0</xdr:rowOff>
    </xdr:to>
    <xdr:sp>
      <xdr:nvSpPr>
        <xdr:cNvPr id="28" name="Line 45"/>
        <xdr:cNvSpPr>
          <a:spLocks/>
        </xdr:cNvSpPr>
      </xdr:nvSpPr>
      <xdr:spPr>
        <a:xfrm>
          <a:off x="2514600" y="53244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57150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9" name="Line 50"/>
        <xdr:cNvSpPr>
          <a:spLocks/>
        </xdr:cNvSpPr>
      </xdr:nvSpPr>
      <xdr:spPr>
        <a:xfrm>
          <a:off x="657225" y="39624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0</xdr:colOff>
      <xdr:row>32</xdr:row>
      <xdr:rowOff>0</xdr:rowOff>
    </xdr:from>
    <xdr:to>
      <xdr:col>12</xdr:col>
      <xdr:colOff>152400</xdr:colOff>
      <xdr:row>32</xdr:row>
      <xdr:rowOff>0</xdr:rowOff>
    </xdr:to>
    <xdr:sp>
      <xdr:nvSpPr>
        <xdr:cNvPr id="30" name="Line 51"/>
        <xdr:cNvSpPr>
          <a:spLocks/>
        </xdr:cNvSpPr>
      </xdr:nvSpPr>
      <xdr:spPr>
        <a:xfrm flipH="1">
          <a:off x="2400300" y="3962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66675</xdr:rowOff>
    </xdr:from>
    <xdr:to>
      <xdr:col>15</xdr:col>
      <xdr:colOff>0</xdr:colOff>
      <xdr:row>35</xdr:row>
      <xdr:rowOff>85725</xdr:rowOff>
    </xdr:to>
    <xdr:sp>
      <xdr:nvSpPr>
        <xdr:cNvPr id="31" name="Line 52"/>
        <xdr:cNvSpPr>
          <a:spLocks/>
        </xdr:cNvSpPr>
      </xdr:nvSpPr>
      <xdr:spPr>
        <a:xfrm>
          <a:off x="3000375" y="42767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28575</xdr:rowOff>
    </xdr:from>
    <xdr:to>
      <xdr:col>15</xdr:col>
      <xdr:colOff>0</xdr:colOff>
      <xdr:row>51</xdr:row>
      <xdr:rowOff>47625</xdr:rowOff>
    </xdr:to>
    <xdr:sp>
      <xdr:nvSpPr>
        <xdr:cNvPr id="32" name="Line 53"/>
        <xdr:cNvSpPr>
          <a:spLocks/>
        </xdr:cNvSpPr>
      </xdr:nvSpPr>
      <xdr:spPr>
        <a:xfrm flipV="1">
          <a:off x="3000375" y="62198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33" name="Line 54"/>
        <xdr:cNvSpPr>
          <a:spLocks/>
        </xdr:cNvSpPr>
      </xdr:nvSpPr>
      <xdr:spPr>
        <a:xfrm>
          <a:off x="800100" y="39624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12</xdr:col>
      <xdr:colOff>0</xdr:colOff>
      <xdr:row>32</xdr:row>
      <xdr:rowOff>0</xdr:rowOff>
    </xdr:to>
    <xdr:sp>
      <xdr:nvSpPr>
        <xdr:cNvPr id="34" name="Line 55"/>
        <xdr:cNvSpPr>
          <a:spLocks/>
        </xdr:cNvSpPr>
      </xdr:nvSpPr>
      <xdr:spPr>
        <a:xfrm>
          <a:off x="2200275" y="39624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85725</xdr:rowOff>
    </xdr:from>
    <xdr:to>
      <xdr:col>15</xdr:col>
      <xdr:colOff>0</xdr:colOff>
      <xdr:row>37</xdr:row>
      <xdr:rowOff>0</xdr:rowOff>
    </xdr:to>
    <xdr:sp>
      <xdr:nvSpPr>
        <xdr:cNvPr id="35" name="Line 56"/>
        <xdr:cNvSpPr>
          <a:spLocks/>
        </xdr:cNvSpPr>
      </xdr:nvSpPr>
      <xdr:spPr>
        <a:xfrm>
          <a:off x="3000375" y="44196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0</xdr:colOff>
      <xdr:row>49</xdr:row>
      <xdr:rowOff>0</xdr:rowOff>
    </xdr:from>
    <xdr:to>
      <xdr:col>15</xdr:col>
      <xdr:colOff>0</xdr:colOff>
      <xdr:row>50</xdr:row>
      <xdr:rowOff>38100</xdr:rowOff>
    </xdr:to>
    <xdr:sp>
      <xdr:nvSpPr>
        <xdr:cNvPr id="36" name="Line 57"/>
        <xdr:cNvSpPr>
          <a:spLocks/>
        </xdr:cNvSpPr>
      </xdr:nvSpPr>
      <xdr:spPr>
        <a:xfrm>
          <a:off x="3000375" y="6067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37</xdr:col>
      <xdr:colOff>0</xdr:colOff>
      <xdr:row>35</xdr:row>
      <xdr:rowOff>85725</xdr:rowOff>
    </xdr:from>
    <xdr:to>
      <xdr:col>37</xdr:col>
      <xdr:colOff>0</xdr:colOff>
      <xdr:row>50</xdr:row>
      <xdr:rowOff>38100</xdr:rowOff>
    </xdr:to>
    <xdr:sp>
      <xdr:nvSpPr>
        <xdr:cNvPr id="37" name="Line 73"/>
        <xdr:cNvSpPr>
          <a:spLocks/>
        </xdr:cNvSpPr>
      </xdr:nvSpPr>
      <xdr:spPr>
        <a:xfrm>
          <a:off x="7400925" y="4419600"/>
          <a:ext cx="0" cy="1809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37</xdr:col>
      <xdr:colOff>0</xdr:colOff>
      <xdr:row>35</xdr:row>
      <xdr:rowOff>85725</xdr:rowOff>
    </xdr:from>
    <xdr:to>
      <xdr:col>41</xdr:col>
      <xdr:colOff>0</xdr:colOff>
      <xdr:row>35</xdr:row>
      <xdr:rowOff>85725</xdr:rowOff>
    </xdr:to>
    <xdr:sp>
      <xdr:nvSpPr>
        <xdr:cNvPr id="38" name="Line 74"/>
        <xdr:cNvSpPr>
          <a:spLocks/>
        </xdr:cNvSpPr>
      </xdr:nvSpPr>
      <xdr:spPr>
        <a:xfrm>
          <a:off x="7400925" y="4419600"/>
          <a:ext cx="800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38</xdr:col>
      <xdr:colOff>0</xdr:colOff>
      <xdr:row>37</xdr:row>
      <xdr:rowOff>0</xdr:rowOff>
    </xdr:from>
    <xdr:to>
      <xdr:col>41</xdr:col>
      <xdr:colOff>0</xdr:colOff>
      <xdr:row>37</xdr:row>
      <xdr:rowOff>0</xdr:rowOff>
    </xdr:to>
    <xdr:sp>
      <xdr:nvSpPr>
        <xdr:cNvPr id="39" name="Line 75"/>
        <xdr:cNvSpPr>
          <a:spLocks/>
        </xdr:cNvSpPr>
      </xdr:nvSpPr>
      <xdr:spPr>
        <a:xfrm>
          <a:off x="7600950" y="458152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38</xdr:col>
      <xdr:colOff>0</xdr:colOff>
      <xdr:row>37</xdr:row>
      <xdr:rowOff>0</xdr:rowOff>
    </xdr:from>
    <xdr:to>
      <xdr:col>38</xdr:col>
      <xdr:colOff>0</xdr:colOff>
      <xdr:row>49</xdr:row>
      <xdr:rowOff>0</xdr:rowOff>
    </xdr:to>
    <xdr:sp>
      <xdr:nvSpPr>
        <xdr:cNvPr id="40" name="Line 76"/>
        <xdr:cNvSpPr>
          <a:spLocks/>
        </xdr:cNvSpPr>
      </xdr:nvSpPr>
      <xdr:spPr>
        <a:xfrm>
          <a:off x="7600950" y="4581525"/>
          <a:ext cx="0" cy="1485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41</xdr:col>
      <xdr:colOff>0</xdr:colOff>
      <xdr:row>35</xdr:row>
      <xdr:rowOff>47625</xdr:rowOff>
    </xdr:from>
    <xdr:to>
      <xdr:col>41</xdr:col>
      <xdr:colOff>0</xdr:colOff>
      <xdr:row>37</xdr:row>
      <xdr:rowOff>0</xdr:rowOff>
    </xdr:to>
    <xdr:sp>
      <xdr:nvSpPr>
        <xdr:cNvPr id="41" name="Line 77"/>
        <xdr:cNvSpPr>
          <a:spLocks/>
        </xdr:cNvSpPr>
      </xdr:nvSpPr>
      <xdr:spPr>
        <a:xfrm>
          <a:off x="8201025" y="43815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44</xdr:col>
      <xdr:colOff>0</xdr:colOff>
      <xdr:row>37</xdr:row>
      <xdr:rowOff>0</xdr:rowOff>
    </xdr:from>
    <xdr:to>
      <xdr:col>44</xdr:col>
      <xdr:colOff>0</xdr:colOff>
      <xdr:row>49</xdr:row>
      <xdr:rowOff>0</xdr:rowOff>
    </xdr:to>
    <xdr:sp>
      <xdr:nvSpPr>
        <xdr:cNvPr id="42" name="Line 78"/>
        <xdr:cNvSpPr>
          <a:spLocks/>
        </xdr:cNvSpPr>
      </xdr:nvSpPr>
      <xdr:spPr>
        <a:xfrm>
          <a:off x="8801100" y="4581525"/>
          <a:ext cx="0" cy="1485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45</xdr:col>
      <xdr:colOff>0</xdr:colOff>
      <xdr:row>35</xdr:row>
      <xdr:rowOff>85725</xdr:rowOff>
    </xdr:from>
    <xdr:to>
      <xdr:col>45</xdr:col>
      <xdr:colOff>0</xdr:colOff>
      <xdr:row>50</xdr:row>
      <xdr:rowOff>38100</xdr:rowOff>
    </xdr:to>
    <xdr:sp>
      <xdr:nvSpPr>
        <xdr:cNvPr id="43" name="Line 79"/>
        <xdr:cNvSpPr>
          <a:spLocks/>
        </xdr:cNvSpPr>
      </xdr:nvSpPr>
      <xdr:spPr>
        <a:xfrm>
          <a:off x="9001125" y="4419600"/>
          <a:ext cx="0" cy="1809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36</xdr:col>
      <xdr:colOff>152400</xdr:colOff>
      <xdr:row>43</xdr:row>
      <xdr:rowOff>0</xdr:rowOff>
    </xdr:from>
    <xdr:to>
      <xdr:col>39</xdr:col>
      <xdr:colOff>0</xdr:colOff>
      <xdr:row>43</xdr:row>
      <xdr:rowOff>0</xdr:rowOff>
    </xdr:to>
    <xdr:sp>
      <xdr:nvSpPr>
        <xdr:cNvPr id="44" name="Line 80"/>
        <xdr:cNvSpPr>
          <a:spLocks/>
        </xdr:cNvSpPr>
      </xdr:nvSpPr>
      <xdr:spPr>
        <a:xfrm>
          <a:off x="7353300" y="53244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38</xdr:col>
      <xdr:colOff>0</xdr:colOff>
      <xdr:row>49</xdr:row>
      <xdr:rowOff>0</xdr:rowOff>
    </xdr:from>
    <xdr:to>
      <xdr:col>41</xdr:col>
      <xdr:colOff>0</xdr:colOff>
      <xdr:row>49</xdr:row>
      <xdr:rowOff>0</xdr:rowOff>
    </xdr:to>
    <xdr:sp>
      <xdr:nvSpPr>
        <xdr:cNvPr id="45" name="Line 81"/>
        <xdr:cNvSpPr>
          <a:spLocks/>
        </xdr:cNvSpPr>
      </xdr:nvSpPr>
      <xdr:spPr>
        <a:xfrm>
          <a:off x="7600950" y="606742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37</xdr:col>
      <xdr:colOff>0</xdr:colOff>
      <xdr:row>50</xdr:row>
      <xdr:rowOff>38100</xdr:rowOff>
    </xdr:from>
    <xdr:to>
      <xdr:col>41</xdr:col>
      <xdr:colOff>0</xdr:colOff>
      <xdr:row>50</xdr:row>
      <xdr:rowOff>38100</xdr:rowOff>
    </xdr:to>
    <xdr:sp>
      <xdr:nvSpPr>
        <xdr:cNvPr id="46" name="Line 82"/>
        <xdr:cNvSpPr>
          <a:spLocks/>
        </xdr:cNvSpPr>
      </xdr:nvSpPr>
      <xdr:spPr>
        <a:xfrm>
          <a:off x="7400925" y="6229350"/>
          <a:ext cx="800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38</xdr:col>
      <xdr:colOff>0</xdr:colOff>
      <xdr:row>42</xdr:row>
      <xdr:rowOff>0</xdr:rowOff>
    </xdr:from>
    <xdr:to>
      <xdr:col>44</xdr:col>
      <xdr:colOff>0</xdr:colOff>
      <xdr:row>42</xdr:row>
      <xdr:rowOff>0</xdr:rowOff>
    </xdr:to>
    <xdr:sp>
      <xdr:nvSpPr>
        <xdr:cNvPr id="47" name="Line 83"/>
        <xdr:cNvSpPr>
          <a:spLocks/>
        </xdr:cNvSpPr>
      </xdr:nvSpPr>
      <xdr:spPr>
        <a:xfrm>
          <a:off x="7600950" y="5200650"/>
          <a:ext cx="1200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38</xdr:col>
      <xdr:colOff>0</xdr:colOff>
      <xdr:row>44</xdr:row>
      <xdr:rowOff>0</xdr:rowOff>
    </xdr:from>
    <xdr:to>
      <xdr:col>44</xdr:col>
      <xdr:colOff>0</xdr:colOff>
      <xdr:row>44</xdr:row>
      <xdr:rowOff>0</xdr:rowOff>
    </xdr:to>
    <xdr:sp>
      <xdr:nvSpPr>
        <xdr:cNvPr id="48" name="Line 84"/>
        <xdr:cNvSpPr>
          <a:spLocks/>
        </xdr:cNvSpPr>
      </xdr:nvSpPr>
      <xdr:spPr>
        <a:xfrm>
          <a:off x="7600950" y="5448300"/>
          <a:ext cx="1200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41</xdr:col>
      <xdr:colOff>0</xdr:colOff>
      <xdr:row>42</xdr:row>
      <xdr:rowOff>0</xdr:rowOff>
    </xdr:from>
    <xdr:to>
      <xdr:col>41</xdr:col>
      <xdr:colOff>0</xdr:colOff>
      <xdr:row>44</xdr:row>
      <xdr:rowOff>0</xdr:rowOff>
    </xdr:to>
    <xdr:sp>
      <xdr:nvSpPr>
        <xdr:cNvPr id="49" name="Line 85"/>
        <xdr:cNvSpPr>
          <a:spLocks/>
        </xdr:cNvSpPr>
      </xdr:nvSpPr>
      <xdr:spPr>
        <a:xfrm>
          <a:off x="8201025" y="52006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40</xdr:col>
      <xdr:colOff>190500</xdr:colOff>
      <xdr:row>35</xdr:row>
      <xdr:rowOff>85725</xdr:rowOff>
    </xdr:from>
    <xdr:to>
      <xdr:col>45</xdr:col>
      <xdr:colOff>0</xdr:colOff>
      <xdr:row>35</xdr:row>
      <xdr:rowOff>85725</xdr:rowOff>
    </xdr:to>
    <xdr:sp>
      <xdr:nvSpPr>
        <xdr:cNvPr id="50" name="Line 91"/>
        <xdr:cNvSpPr>
          <a:spLocks/>
        </xdr:cNvSpPr>
      </xdr:nvSpPr>
      <xdr:spPr>
        <a:xfrm>
          <a:off x="8191500" y="4419600"/>
          <a:ext cx="809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41</xdr:col>
      <xdr:colOff>0</xdr:colOff>
      <xdr:row>37</xdr:row>
      <xdr:rowOff>0</xdr:rowOff>
    </xdr:from>
    <xdr:to>
      <xdr:col>44</xdr:col>
      <xdr:colOff>0</xdr:colOff>
      <xdr:row>37</xdr:row>
      <xdr:rowOff>0</xdr:rowOff>
    </xdr:to>
    <xdr:sp>
      <xdr:nvSpPr>
        <xdr:cNvPr id="51" name="Line 93"/>
        <xdr:cNvSpPr>
          <a:spLocks/>
        </xdr:cNvSpPr>
      </xdr:nvSpPr>
      <xdr:spPr>
        <a:xfrm>
          <a:off x="8201025" y="458152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41</xdr:col>
      <xdr:colOff>0</xdr:colOff>
      <xdr:row>49</xdr:row>
      <xdr:rowOff>0</xdr:rowOff>
    </xdr:from>
    <xdr:to>
      <xdr:col>44</xdr:col>
      <xdr:colOff>0</xdr:colOff>
      <xdr:row>49</xdr:row>
      <xdr:rowOff>0</xdr:rowOff>
    </xdr:to>
    <xdr:sp>
      <xdr:nvSpPr>
        <xdr:cNvPr id="52" name="Line 94"/>
        <xdr:cNvSpPr>
          <a:spLocks/>
        </xdr:cNvSpPr>
      </xdr:nvSpPr>
      <xdr:spPr>
        <a:xfrm>
          <a:off x="8201025" y="606742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41</xdr:col>
      <xdr:colOff>0</xdr:colOff>
      <xdr:row>50</xdr:row>
      <xdr:rowOff>38100</xdr:rowOff>
    </xdr:from>
    <xdr:to>
      <xdr:col>45</xdr:col>
      <xdr:colOff>0</xdr:colOff>
      <xdr:row>50</xdr:row>
      <xdr:rowOff>38100</xdr:rowOff>
    </xdr:to>
    <xdr:sp>
      <xdr:nvSpPr>
        <xdr:cNvPr id="53" name="Line 95"/>
        <xdr:cNvSpPr>
          <a:spLocks/>
        </xdr:cNvSpPr>
      </xdr:nvSpPr>
      <xdr:spPr>
        <a:xfrm>
          <a:off x="8201025" y="6229350"/>
          <a:ext cx="800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41</xdr:col>
      <xdr:colOff>0</xdr:colOff>
      <xdr:row>43</xdr:row>
      <xdr:rowOff>0</xdr:rowOff>
    </xdr:from>
    <xdr:to>
      <xdr:col>45</xdr:col>
      <xdr:colOff>104775</xdr:colOff>
      <xdr:row>43</xdr:row>
      <xdr:rowOff>0</xdr:rowOff>
    </xdr:to>
    <xdr:sp>
      <xdr:nvSpPr>
        <xdr:cNvPr id="54" name="Line 102"/>
        <xdr:cNvSpPr>
          <a:spLocks/>
        </xdr:cNvSpPr>
      </xdr:nvSpPr>
      <xdr:spPr>
        <a:xfrm>
          <a:off x="8201025" y="532447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41</xdr:col>
      <xdr:colOff>0</xdr:colOff>
      <xdr:row>37</xdr:row>
      <xdr:rowOff>0</xdr:rowOff>
    </xdr:from>
    <xdr:to>
      <xdr:col>41</xdr:col>
      <xdr:colOff>0</xdr:colOff>
      <xdr:row>42</xdr:row>
      <xdr:rowOff>0</xdr:rowOff>
    </xdr:to>
    <xdr:sp>
      <xdr:nvSpPr>
        <xdr:cNvPr id="55" name="Line 104"/>
        <xdr:cNvSpPr>
          <a:spLocks/>
        </xdr:cNvSpPr>
      </xdr:nvSpPr>
      <xdr:spPr>
        <a:xfrm>
          <a:off x="8201025" y="458152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0</xdr:rowOff>
    </xdr:from>
    <xdr:to>
      <xdr:col>41</xdr:col>
      <xdr:colOff>0</xdr:colOff>
      <xdr:row>49</xdr:row>
      <xdr:rowOff>0</xdr:rowOff>
    </xdr:to>
    <xdr:sp>
      <xdr:nvSpPr>
        <xdr:cNvPr id="56" name="Line 105"/>
        <xdr:cNvSpPr>
          <a:spLocks/>
        </xdr:cNvSpPr>
      </xdr:nvSpPr>
      <xdr:spPr>
        <a:xfrm>
          <a:off x="8201025" y="544830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104775</xdr:rowOff>
    </xdr:from>
    <xdr:to>
      <xdr:col>4</xdr:col>
      <xdr:colOff>0</xdr:colOff>
      <xdr:row>35</xdr:row>
      <xdr:rowOff>28575</xdr:rowOff>
    </xdr:to>
    <xdr:sp>
      <xdr:nvSpPr>
        <xdr:cNvPr id="57" name="Line 113"/>
        <xdr:cNvSpPr>
          <a:spLocks/>
        </xdr:cNvSpPr>
      </xdr:nvSpPr>
      <xdr:spPr>
        <a:xfrm flipV="1">
          <a:off x="800100" y="39433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0</xdr:colOff>
      <xdr:row>31</xdr:row>
      <xdr:rowOff>95250</xdr:rowOff>
    </xdr:from>
    <xdr:to>
      <xdr:col>12</xdr:col>
      <xdr:colOff>0</xdr:colOff>
      <xdr:row>35</xdr:row>
      <xdr:rowOff>19050</xdr:rowOff>
    </xdr:to>
    <xdr:sp>
      <xdr:nvSpPr>
        <xdr:cNvPr id="58" name="Line 114"/>
        <xdr:cNvSpPr>
          <a:spLocks/>
        </xdr:cNvSpPr>
      </xdr:nvSpPr>
      <xdr:spPr>
        <a:xfrm flipV="1">
          <a:off x="2400300" y="39338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45</xdr:col>
      <xdr:colOff>0</xdr:colOff>
      <xdr:row>34</xdr:row>
      <xdr:rowOff>66675</xdr:rowOff>
    </xdr:from>
    <xdr:to>
      <xdr:col>46</xdr:col>
      <xdr:colOff>190500</xdr:colOff>
      <xdr:row>35</xdr:row>
      <xdr:rowOff>85725</xdr:rowOff>
    </xdr:to>
    <xdr:sp>
      <xdr:nvSpPr>
        <xdr:cNvPr id="59" name="Line 119"/>
        <xdr:cNvSpPr>
          <a:spLocks/>
        </xdr:cNvSpPr>
      </xdr:nvSpPr>
      <xdr:spPr>
        <a:xfrm flipV="1">
          <a:off x="9001125" y="4276725"/>
          <a:ext cx="390525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45</xdr:col>
      <xdr:colOff>0</xdr:colOff>
      <xdr:row>49</xdr:row>
      <xdr:rowOff>9525</xdr:rowOff>
    </xdr:from>
    <xdr:to>
      <xdr:col>47</xdr:col>
      <xdr:colOff>0</xdr:colOff>
      <xdr:row>50</xdr:row>
      <xdr:rowOff>28575</xdr:rowOff>
    </xdr:to>
    <xdr:sp>
      <xdr:nvSpPr>
        <xdr:cNvPr id="60" name="Line 120"/>
        <xdr:cNvSpPr>
          <a:spLocks/>
        </xdr:cNvSpPr>
      </xdr:nvSpPr>
      <xdr:spPr>
        <a:xfrm flipV="1">
          <a:off x="9001125" y="6076950"/>
          <a:ext cx="4000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47</xdr:col>
      <xdr:colOff>0</xdr:colOff>
      <xdr:row>34</xdr:row>
      <xdr:rowOff>57150</xdr:rowOff>
    </xdr:from>
    <xdr:to>
      <xdr:col>47</xdr:col>
      <xdr:colOff>0</xdr:colOff>
      <xdr:row>49</xdr:row>
      <xdr:rowOff>0</xdr:rowOff>
    </xdr:to>
    <xdr:sp>
      <xdr:nvSpPr>
        <xdr:cNvPr id="61" name="Line 121"/>
        <xdr:cNvSpPr>
          <a:spLocks/>
        </xdr:cNvSpPr>
      </xdr:nvSpPr>
      <xdr:spPr>
        <a:xfrm>
          <a:off x="9401175" y="4267200"/>
          <a:ext cx="0" cy="1800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47</xdr:col>
      <xdr:colOff>142875</xdr:colOff>
      <xdr:row>33</xdr:row>
      <xdr:rowOff>57150</xdr:rowOff>
    </xdr:from>
    <xdr:to>
      <xdr:col>47</xdr:col>
      <xdr:colOff>142875</xdr:colOff>
      <xdr:row>49</xdr:row>
      <xdr:rowOff>76200</xdr:rowOff>
    </xdr:to>
    <xdr:sp>
      <xdr:nvSpPr>
        <xdr:cNvPr id="62" name="Line 122"/>
        <xdr:cNvSpPr>
          <a:spLocks/>
        </xdr:cNvSpPr>
      </xdr:nvSpPr>
      <xdr:spPr>
        <a:xfrm>
          <a:off x="9544050" y="4143375"/>
          <a:ext cx="0" cy="2000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39</xdr:col>
      <xdr:colOff>0</xdr:colOff>
      <xdr:row>34</xdr:row>
      <xdr:rowOff>57150</xdr:rowOff>
    </xdr:from>
    <xdr:to>
      <xdr:col>47</xdr:col>
      <xdr:colOff>0</xdr:colOff>
      <xdr:row>34</xdr:row>
      <xdr:rowOff>57150</xdr:rowOff>
    </xdr:to>
    <xdr:sp>
      <xdr:nvSpPr>
        <xdr:cNvPr id="63" name="Line 123"/>
        <xdr:cNvSpPr>
          <a:spLocks/>
        </xdr:cNvSpPr>
      </xdr:nvSpPr>
      <xdr:spPr>
        <a:xfrm flipH="1">
          <a:off x="7800975" y="4267200"/>
          <a:ext cx="1600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38</xdr:col>
      <xdr:colOff>95250</xdr:colOff>
      <xdr:row>33</xdr:row>
      <xdr:rowOff>57150</xdr:rowOff>
    </xdr:from>
    <xdr:to>
      <xdr:col>47</xdr:col>
      <xdr:colOff>152400</xdr:colOff>
      <xdr:row>33</xdr:row>
      <xdr:rowOff>57150</xdr:rowOff>
    </xdr:to>
    <xdr:sp>
      <xdr:nvSpPr>
        <xdr:cNvPr id="64" name="Line 124"/>
        <xdr:cNvSpPr>
          <a:spLocks/>
        </xdr:cNvSpPr>
      </xdr:nvSpPr>
      <xdr:spPr>
        <a:xfrm>
          <a:off x="7696200" y="4143375"/>
          <a:ext cx="1857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48</xdr:col>
      <xdr:colOff>76200</xdr:colOff>
      <xdr:row>33</xdr:row>
      <xdr:rowOff>0</xdr:rowOff>
    </xdr:from>
    <xdr:to>
      <xdr:col>48</xdr:col>
      <xdr:colOff>76200</xdr:colOff>
      <xdr:row>49</xdr:row>
      <xdr:rowOff>38100</xdr:rowOff>
    </xdr:to>
    <xdr:sp>
      <xdr:nvSpPr>
        <xdr:cNvPr id="65" name="Line 125"/>
        <xdr:cNvSpPr>
          <a:spLocks/>
        </xdr:cNvSpPr>
      </xdr:nvSpPr>
      <xdr:spPr>
        <a:xfrm>
          <a:off x="9677400" y="4086225"/>
          <a:ext cx="0" cy="2019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39</xdr:col>
      <xdr:colOff>19050</xdr:colOff>
      <xdr:row>33</xdr:row>
      <xdr:rowOff>0</xdr:rowOff>
    </xdr:from>
    <xdr:to>
      <xdr:col>48</xdr:col>
      <xdr:colOff>76200</xdr:colOff>
      <xdr:row>33</xdr:row>
      <xdr:rowOff>0</xdr:rowOff>
    </xdr:to>
    <xdr:sp>
      <xdr:nvSpPr>
        <xdr:cNvPr id="66" name="Line 126"/>
        <xdr:cNvSpPr>
          <a:spLocks/>
        </xdr:cNvSpPr>
      </xdr:nvSpPr>
      <xdr:spPr>
        <a:xfrm flipH="1">
          <a:off x="7820025" y="4086225"/>
          <a:ext cx="1857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47</xdr:col>
      <xdr:colOff>142875</xdr:colOff>
      <xdr:row>33</xdr:row>
      <xdr:rowOff>9525</xdr:rowOff>
    </xdr:from>
    <xdr:to>
      <xdr:col>48</xdr:col>
      <xdr:colOff>66675</xdr:colOff>
      <xdr:row>33</xdr:row>
      <xdr:rowOff>57150</xdr:rowOff>
    </xdr:to>
    <xdr:sp>
      <xdr:nvSpPr>
        <xdr:cNvPr id="67" name="Line 127"/>
        <xdr:cNvSpPr>
          <a:spLocks/>
        </xdr:cNvSpPr>
      </xdr:nvSpPr>
      <xdr:spPr>
        <a:xfrm flipV="1">
          <a:off x="9544050" y="4095750"/>
          <a:ext cx="123825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37</xdr:col>
      <xdr:colOff>28575</xdr:colOff>
      <xdr:row>34</xdr:row>
      <xdr:rowOff>57150</xdr:rowOff>
    </xdr:from>
    <xdr:to>
      <xdr:col>39</xdr:col>
      <xdr:colOff>0</xdr:colOff>
      <xdr:row>35</xdr:row>
      <xdr:rowOff>76200</xdr:rowOff>
    </xdr:to>
    <xdr:sp>
      <xdr:nvSpPr>
        <xdr:cNvPr id="68" name="Line 129"/>
        <xdr:cNvSpPr>
          <a:spLocks/>
        </xdr:cNvSpPr>
      </xdr:nvSpPr>
      <xdr:spPr>
        <a:xfrm flipV="1">
          <a:off x="7429500" y="4267200"/>
          <a:ext cx="371475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38</xdr:col>
      <xdr:colOff>85725</xdr:colOff>
      <xdr:row>33</xdr:row>
      <xdr:rowOff>0</xdr:rowOff>
    </xdr:from>
    <xdr:to>
      <xdr:col>39</xdr:col>
      <xdr:colOff>28575</xdr:colOff>
      <xdr:row>33</xdr:row>
      <xdr:rowOff>47625</xdr:rowOff>
    </xdr:to>
    <xdr:sp>
      <xdr:nvSpPr>
        <xdr:cNvPr id="69" name="Line 130"/>
        <xdr:cNvSpPr>
          <a:spLocks/>
        </xdr:cNvSpPr>
      </xdr:nvSpPr>
      <xdr:spPr>
        <a:xfrm flipV="1">
          <a:off x="7686675" y="4086225"/>
          <a:ext cx="142875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38</xdr:col>
      <xdr:colOff>85725</xdr:colOff>
      <xdr:row>33</xdr:row>
      <xdr:rowOff>57150</xdr:rowOff>
    </xdr:from>
    <xdr:to>
      <xdr:col>38</xdr:col>
      <xdr:colOff>85725</xdr:colOff>
      <xdr:row>34</xdr:row>
      <xdr:rowOff>104775</xdr:rowOff>
    </xdr:to>
    <xdr:sp>
      <xdr:nvSpPr>
        <xdr:cNvPr id="70" name="Line 131"/>
        <xdr:cNvSpPr>
          <a:spLocks/>
        </xdr:cNvSpPr>
      </xdr:nvSpPr>
      <xdr:spPr>
        <a:xfrm flipV="1">
          <a:off x="7686675" y="4143375"/>
          <a:ext cx="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45</xdr:col>
      <xdr:colOff>190500</xdr:colOff>
      <xdr:row>49</xdr:row>
      <xdr:rowOff>85725</xdr:rowOff>
    </xdr:from>
    <xdr:to>
      <xdr:col>47</xdr:col>
      <xdr:colOff>152400</xdr:colOff>
      <xdr:row>49</xdr:row>
      <xdr:rowOff>85725</xdr:rowOff>
    </xdr:to>
    <xdr:sp>
      <xdr:nvSpPr>
        <xdr:cNvPr id="71" name="Line 132"/>
        <xdr:cNvSpPr>
          <a:spLocks/>
        </xdr:cNvSpPr>
      </xdr:nvSpPr>
      <xdr:spPr>
        <a:xfrm flipH="1">
          <a:off x="9191625" y="6153150"/>
          <a:ext cx="361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47</xdr:col>
      <xdr:colOff>142875</xdr:colOff>
      <xdr:row>49</xdr:row>
      <xdr:rowOff>38100</xdr:rowOff>
    </xdr:from>
    <xdr:to>
      <xdr:col>48</xdr:col>
      <xdr:colOff>66675</xdr:colOff>
      <xdr:row>49</xdr:row>
      <xdr:rowOff>85725</xdr:rowOff>
    </xdr:to>
    <xdr:sp>
      <xdr:nvSpPr>
        <xdr:cNvPr id="72" name="Line 133"/>
        <xdr:cNvSpPr>
          <a:spLocks/>
        </xdr:cNvSpPr>
      </xdr:nvSpPr>
      <xdr:spPr>
        <a:xfrm flipV="1">
          <a:off x="9544050" y="6105525"/>
          <a:ext cx="123825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41</xdr:col>
      <xdr:colOff>85725</xdr:colOff>
      <xdr:row>32</xdr:row>
      <xdr:rowOff>0</xdr:rowOff>
    </xdr:from>
    <xdr:to>
      <xdr:col>43</xdr:col>
      <xdr:colOff>38100</xdr:colOff>
      <xdr:row>33</xdr:row>
      <xdr:rowOff>0</xdr:rowOff>
    </xdr:to>
    <xdr:sp>
      <xdr:nvSpPr>
        <xdr:cNvPr id="73" name="Line 134"/>
        <xdr:cNvSpPr>
          <a:spLocks/>
        </xdr:cNvSpPr>
      </xdr:nvSpPr>
      <xdr:spPr>
        <a:xfrm flipV="1">
          <a:off x="8286750" y="3962400"/>
          <a:ext cx="352425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48</xdr:col>
      <xdr:colOff>76200</xdr:colOff>
      <xdr:row>32</xdr:row>
      <xdr:rowOff>9525</xdr:rowOff>
    </xdr:from>
    <xdr:to>
      <xdr:col>50</xdr:col>
      <xdr:colOff>190500</xdr:colOff>
      <xdr:row>33</xdr:row>
      <xdr:rowOff>76200</xdr:rowOff>
    </xdr:to>
    <xdr:sp>
      <xdr:nvSpPr>
        <xdr:cNvPr id="74" name="Line 135"/>
        <xdr:cNvSpPr>
          <a:spLocks/>
        </xdr:cNvSpPr>
      </xdr:nvSpPr>
      <xdr:spPr>
        <a:xfrm flipV="1">
          <a:off x="9677400" y="3971925"/>
          <a:ext cx="51435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48</xdr:col>
      <xdr:colOff>76200</xdr:colOff>
      <xdr:row>46</xdr:row>
      <xdr:rowOff>76200</xdr:rowOff>
    </xdr:from>
    <xdr:to>
      <xdr:col>51</xdr:col>
      <xdr:colOff>0</xdr:colOff>
      <xdr:row>48</xdr:row>
      <xdr:rowOff>28575</xdr:rowOff>
    </xdr:to>
    <xdr:sp>
      <xdr:nvSpPr>
        <xdr:cNvPr id="75" name="Line 136"/>
        <xdr:cNvSpPr>
          <a:spLocks/>
        </xdr:cNvSpPr>
      </xdr:nvSpPr>
      <xdr:spPr>
        <a:xfrm flipV="1">
          <a:off x="9677400" y="5772150"/>
          <a:ext cx="523875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51</xdr:col>
      <xdr:colOff>0</xdr:colOff>
      <xdr:row>32</xdr:row>
      <xdr:rowOff>0</xdr:rowOff>
    </xdr:from>
    <xdr:to>
      <xdr:col>51</xdr:col>
      <xdr:colOff>0</xdr:colOff>
      <xdr:row>46</xdr:row>
      <xdr:rowOff>66675</xdr:rowOff>
    </xdr:to>
    <xdr:sp>
      <xdr:nvSpPr>
        <xdr:cNvPr id="76" name="Line 162"/>
        <xdr:cNvSpPr>
          <a:spLocks/>
        </xdr:cNvSpPr>
      </xdr:nvSpPr>
      <xdr:spPr>
        <a:xfrm>
          <a:off x="10201275" y="3962400"/>
          <a:ext cx="0" cy="1800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51</xdr:col>
      <xdr:colOff>142875</xdr:colOff>
      <xdr:row>31</xdr:row>
      <xdr:rowOff>0</xdr:rowOff>
    </xdr:from>
    <xdr:to>
      <xdr:col>51</xdr:col>
      <xdr:colOff>142875</xdr:colOff>
      <xdr:row>47</xdr:row>
      <xdr:rowOff>19050</xdr:rowOff>
    </xdr:to>
    <xdr:sp>
      <xdr:nvSpPr>
        <xdr:cNvPr id="77" name="Line 163"/>
        <xdr:cNvSpPr>
          <a:spLocks/>
        </xdr:cNvSpPr>
      </xdr:nvSpPr>
      <xdr:spPr>
        <a:xfrm>
          <a:off x="10344150" y="3838575"/>
          <a:ext cx="0" cy="2000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43</xdr:col>
      <xdr:colOff>28575</xdr:colOff>
      <xdr:row>32</xdr:row>
      <xdr:rowOff>0</xdr:rowOff>
    </xdr:from>
    <xdr:to>
      <xdr:col>51</xdr:col>
      <xdr:colOff>0</xdr:colOff>
      <xdr:row>32</xdr:row>
      <xdr:rowOff>0</xdr:rowOff>
    </xdr:to>
    <xdr:sp>
      <xdr:nvSpPr>
        <xdr:cNvPr id="78" name="Line 164"/>
        <xdr:cNvSpPr>
          <a:spLocks/>
        </xdr:cNvSpPr>
      </xdr:nvSpPr>
      <xdr:spPr>
        <a:xfrm flipH="1">
          <a:off x="8629650" y="3962400"/>
          <a:ext cx="1571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42</xdr:col>
      <xdr:colOff>95250</xdr:colOff>
      <xdr:row>31</xdr:row>
      <xdr:rowOff>0</xdr:rowOff>
    </xdr:from>
    <xdr:to>
      <xdr:col>51</xdr:col>
      <xdr:colOff>152400</xdr:colOff>
      <xdr:row>31</xdr:row>
      <xdr:rowOff>0</xdr:rowOff>
    </xdr:to>
    <xdr:sp>
      <xdr:nvSpPr>
        <xdr:cNvPr id="79" name="Line 165"/>
        <xdr:cNvSpPr>
          <a:spLocks/>
        </xdr:cNvSpPr>
      </xdr:nvSpPr>
      <xdr:spPr>
        <a:xfrm>
          <a:off x="8496300" y="3838575"/>
          <a:ext cx="1857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52</xdr:col>
      <xdr:colOff>76200</xdr:colOff>
      <xdr:row>30</xdr:row>
      <xdr:rowOff>66675</xdr:rowOff>
    </xdr:from>
    <xdr:to>
      <xdr:col>52</xdr:col>
      <xdr:colOff>76200</xdr:colOff>
      <xdr:row>46</xdr:row>
      <xdr:rowOff>104775</xdr:rowOff>
    </xdr:to>
    <xdr:sp>
      <xdr:nvSpPr>
        <xdr:cNvPr id="80" name="Line 166"/>
        <xdr:cNvSpPr>
          <a:spLocks/>
        </xdr:cNvSpPr>
      </xdr:nvSpPr>
      <xdr:spPr>
        <a:xfrm>
          <a:off x="10477500" y="3781425"/>
          <a:ext cx="0" cy="2019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43</xdr:col>
      <xdr:colOff>19050</xdr:colOff>
      <xdr:row>30</xdr:row>
      <xdr:rowOff>66675</xdr:rowOff>
    </xdr:from>
    <xdr:to>
      <xdr:col>52</xdr:col>
      <xdr:colOff>76200</xdr:colOff>
      <xdr:row>30</xdr:row>
      <xdr:rowOff>66675</xdr:rowOff>
    </xdr:to>
    <xdr:sp>
      <xdr:nvSpPr>
        <xdr:cNvPr id="81" name="Line 167"/>
        <xdr:cNvSpPr>
          <a:spLocks/>
        </xdr:cNvSpPr>
      </xdr:nvSpPr>
      <xdr:spPr>
        <a:xfrm flipH="1">
          <a:off x="8620125" y="3781425"/>
          <a:ext cx="1857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51</xdr:col>
      <xdr:colOff>142875</xdr:colOff>
      <xdr:row>30</xdr:row>
      <xdr:rowOff>76200</xdr:rowOff>
    </xdr:from>
    <xdr:to>
      <xdr:col>52</xdr:col>
      <xdr:colOff>66675</xdr:colOff>
      <xdr:row>31</xdr:row>
      <xdr:rowOff>0</xdr:rowOff>
    </xdr:to>
    <xdr:sp>
      <xdr:nvSpPr>
        <xdr:cNvPr id="82" name="Line 168"/>
        <xdr:cNvSpPr>
          <a:spLocks/>
        </xdr:cNvSpPr>
      </xdr:nvSpPr>
      <xdr:spPr>
        <a:xfrm flipV="1">
          <a:off x="10344150" y="3790950"/>
          <a:ext cx="123825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42</xdr:col>
      <xdr:colOff>85725</xdr:colOff>
      <xdr:row>30</xdr:row>
      <xdr:rowOff>66675</xdr:rowOff>
    </xdr:from>
    <xdr:to>
      <xdr:col>43</xdr:col>
      <xdr:colOff>28575</xdr:colOff>
      <xdr:row>30</xdr:row>
      <xdr:rowOff>114300</xdr:rowOff>
    </xdr:to>
    <xdr:sp>
      <xdr:nvSpPr>
        <xdr:cNvPr id="83" name="Line 169"/>
        <xdr:cNvSpPr>
          <a:spLocks/>
        </xdr:cNvSpPr>
      </xdr:nvSpPr>
      <xdr:spPr>
        <a:xfrm flipV="1">
          <a:off x="8486775" y="3781425"/>
          <a:ext cx="142875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42</xdr:col>
      <xdr:colOff>85725</xdr:colOff>
      <xdr:row>31</xdr:row>
      <xdr:rowOff>0</xdr:rowOff>
    </xdr:from>
    <xdr:to>
      <xdr:col>42</xdr:col>
      <xdr:colOff>85725</xdr:colOff>
      <xdr:row>32</xdr:row>
      <xdr:rowOff>47625</xdr:rowOff>
    </xdr:to>
    <xdr:sp>
      <xdr:nvSpPr>
        <xdr:cNvPr id="84" name="Line 170"/>
        <xdr:cNvSpPr>
          <a:spLocks/>
        </xdr:cNvSpPr>
      </xdr:nvSpPr>
      <xdr:spPr>
        <a:xfrm flipV="1">
          <a:off x="8486775" y="3838575"/>
          <a:ext cx="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50</xdr:col>
      <xdr:colOff>0</xdr:colOff>
      <xdr:row>47</xdr:row>
      <xdr:rowOff>28575</xdr:rowOff>
    </xdr:from>
    <xdr:to>
      <xdr:col>51</xdr:col>
      <xdr:colOff>152400</xdr:colOff>
      <xdr:row>47</xdr:row>
      <xdr:rowOff>28575</xdr:rowOff>
    </xdr:to>
    <xdr:sp>
      <xdr:nvSpPr>
        <xdr:cNvPr id="85" name="Line 171"/>
        <xdr:cNvSpPr>
          <a:spLocks/>
        </xdr:cNvSpPr>
      </xdr:nvSpPr>
      <xdr:spPr>
        <a:xfrm flipH="1">
          <a:off x="10001250" y="5848350"/>
          <a:ext cx="352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51</xdr:col>
      <xdr:colOff>142875</xdr:colOff>
      <xdr:row>46</xdr:row>
      <xdr:rowOff>104775</xdr:rowOff>
    </xdr:from>
    <xdr:to>
      <xdr:col>52</xdr:col>
      <xdr:colOff>66675</xdr:colOff>
      <xdr:row>47</xdr:row>
      <xdr:rowOff>28575</xdr:rowOff>
    </xdr:to>
    <xdr:sp>
      <xdr:nvSpPr>
        <xdr:cNvPr id="86" name="Line 172"/>
        <xdr:cNvSpPr>
          <a:spLocks/>
        </xdr:cNvSpPr>
      </xdr:nvSpPr>
      <xdr:spPr>
        <a:xfrm flipV="1">
          <a:off x="10344150" y="5800725"/>
          <a:ext cx="123825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44</xdr:col>
      <xdr:colOff>95250</xdr:colOff>
      <xdr:row>41</xdr:row>
      <xdr:rowOff>76200</xdr:rowOff>
    </xdr:from>
    <xdr:to>
      <xdr:col>47</xdr:col>
      <xdr:colOff>47625</xdr:colOff>
      <xdr:row>43</xdr:row>
      <xdr:rowOff>38100</xdr:rowOff>
    </xdr:to>
    <xdr:sp>
      <xdr:nvSpPr>
        <xdr:cNvPr id="87" name="Line 176"/>
        <xdr:cNvSpPr>
          <a:spLocks/>
        </xdr:cNvSpPr>
      </xdr:nvSpPr>
      <xdr:spPr>
        <a:xfrm flipV="1">
          <a:off x="8896350" y="5153025"/>
          <a:ext cx="55245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47</xdr:col>
      <xdr:colOff>190500</xdr:colOff>
      <xdr:row>39</xdr:row>
      <xdr:rowOff>85725</xdr:rowOff>
    </xdr:from>
    <xdr:to>
      <xdr:col>51</xdr:col>
      <xdr:colOff>190500</xdr:colOff>
      <xdr:row>42</xdr:row>
      <xdr:rowOff>9525</xdr:rowOff>
    </xdr:to>
    <xdr:sp>
      <xdr:nvSpPr>
        <xdr:cNvPr id="88" name="Line 177"/>
        <xdr:cNvSpPr>
          <a:spLocks/>
        </xdr:cNvSpPr>
      </xdr:nvSpPr>
      <xdr:spPr>
        <a:xfrm flipV="1">
          <a:off x="9591675" y="4914900"/>
          <a:ext cx="8001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48</xdr:col>
      <xdr:colOff>0</xdr:colOff>
      <xdr:row>41</xdr:row>
      <xdr:rowOff>9525</xdr:rowOff>
    </xdr:from>
    <xdr:to>
      <xdr:col>48</xdr:col>
      <xdr:colOff>0</xdr:colOff>
      <xdr:row>42</xdr:row>
      <xdr:rowOff>114300</xdr:rowOff>
    </xdr:to>
    <xdr:sp>
      <xdr:nvSpPr>
        <xdr:cNvPr id="89" name="Line 178"/>
        <xdr:cNvSpPr>
          <a:spLocks/>
        </xdr:cNvSpPr>
      </xdr:nvSpPr>
      <xdr:spPr>
        <a:xfrm>
          <a:off x="9601200" y="50863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52</xdr:col>
      <xdr:colOff>0</xdr:colOff>
      <xdr:row>38</xdr:row>
      <xdr:rowOff>104775</xdr:rowOff>
    </xdr:from>
    <xdr:to>
      <xdr:col>52</xdr:col>
      <xdr:colOff>0</xdr:colOff>
      <xdr:row>40</xdr:row>
      <xdr:rowOff>85725</xdr:rowOff>
    </xdr:to>
    <xdr:sp>
      <xdr:nvSpPr>
        <xdr:cNvPr id="90" name="Line 179"/>
        <xdr:cNvSpPr>
          <a:spLocks/>
        </xdr:cNvSpPr>
      </xdr:nvSpPr>
      <xdr:spPr>
        <a:xfrm>
          <a:off x="10401300" y="48101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48</xdr:col>
      <xdr:colOff>76200</xdr:colOff>
      <xdr:row>42</xdr:row>
      <xdr:rowOff>0</xdr:rowOff>
    </xdr:from>
    <xdr:to>
      <xdr:col>52</xdr:col>
      <xdr:colOff>76200</xdr:colOff>
      <xdr:row>43</xdr:row>
      <xdr:rowOff>0</xdr:rowOff>
    </xdr:to>
    <xdr:sp>
      <xdr:nvSpPr>
        <xdr:cNvPr id="91" name="Rectangle 180"/>
        <xdr:cNvSpPr>
          <a:spLocks/>
        </xdr:cNvSpPr>
      </xdr:nvSpPr>
      <xdr:spPr>
        <a:xfrm>
          <a:off x="9677400" y="5200650"/>
          <a:ext cx="8001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Pitch Distance</a:t>
          </a:r>
        </a:p>
      </xdr:txBody>
    </xdr:sp>
    <xdr:clientData/>
  </xdr:twoCellAnchor>
  <xdr:twoCellAnchor>
    <xdr:from>
      <xdr:col>45</xdr:col>
      <xdr:colOff>0</xdr:colOff>
      <xdr:row>37</xdr:row>
      <xdr:rowOff>0</xdr:rowOff>
    </xdr:from>
    <xdr:to>
      <xdr:col>51</xdr:col>
      <xdr:colOff>0</xdr:colOff>
      <xdr:row>38</xdr:row>
      <xdr:rowOff>0</xdr:rowOff>
    </xdr:to>
    <xdr:sp>
      <xdr:nvSpPr>
        <xdr:cNvPr id="92" name="Rectangle 181"/>
        <xdr:cNvSpPr>
          <a:spLocks/>
        </xdr:cNvSpPr>
      </xdr:nvSpPr>
      <xdr:spPr>
        <a:xfrm>
          <a:off x="9001125" y="4581525"/>
          <a:ext cx="1200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sng" baseline="0"/>
            <a:t>Reinforcing Member</a:t>
          </a:r>
        </a:p>
      </xdr:txBody>
    </xdr:sp>
    <xdr:clientData/>
  </xdr:twoCellAnchor>
  <xdr:twoCellAnchor editAs="oneCell">
    <xdr:from>
      <xdr:col>40</xdr:col>
      <xdr:colOff>9525</xdr:colOff>
      <xdr:row>21</xdr:row>
      <xdr:rowOff>0</xdr:rowOff>
    </xdr:from>
    <xdr:to>
      <xdr:col>43</xdr:col>
      <xdr:colOff>123825</xdr:colOff>
      <xdr:row>22</xdr:row>
      <xdr:rowOff>28575</xdr:rowOff>
    </xdr:to>
    <xdr:pic>
      <xdr:nvPicPr>
        <xdr:cNvPr id="93" name="ComboBox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2600325"/>
          <a:ext cx="7143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9525</xdr:colOff>
      <xdr:row>22</xdr:row>
      <xdr:rowOff>0</xdr:rowOff>
    </xdr:from>
    <xdr:to>
      <xdr:col>46</xdr:col>
      <xdr:colOff>0</xdr:colOff>
      <xdr:row>23</xdr:row>
      <xdr:rowOff>28575</xdr:rowOff>
    </xdr:to>
    <xdr:pic>
      <xdr:nvPicPr>
        <xdr:cNvPr id="94" name="ComboBox7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2724150"/>
          <a:ext cx="119062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9525</xdr:colOff>
      <xdr:row>17</xdr:row>
      <xdr:rowOff>0</xdr:rowOff>
    </xdr:from>
    <xdr:to>
      <xdr:col>43</xdr:col>
      <xdr:colOff>9525</xdr:colOff>
      <xdr:row>18</xdr:row>
      <xdr:rowOff>19050</xdr:rowOff>
    </xdr:to>
    <xdr:pic>
      <xdr:nvPicPr>
        <xdr:cNvPr id="95" name="ComboBox7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10525" y="2105025"/>
          <a:ext cx="600075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9525</xdr:colOff>
      <xdr:row>18</xdr:row>
      <xdr:rowOff>0</xdr:rowOff>
    </xdr:from>
    <xdr:to>
      <xdr:col>44</xdr:col>
      <xdr:colOff>9525</xdr:colOff>
      <xdr:row>19</xdr:row>
      <xdr:rowOff>19050</xdr:rowOff>
    </xdr:to>
    <xdr:pic>
      <xdr:nvPicPr>
        <xdr:cNvPr id="96" name="ComboBox7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10525" y="2228850"/>
          <a:ext cx="800100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47</xdr:col>
      <xdr:colOff>0</xdr:colOff>
      <xdr:row>53</xdr:row>
      <xdr:rowOff>0</xdr:rowOff>
    </xdr:from>
    <xdr:to>
      <xdr:col>50</xdr:col>
      <xdr:colOff>114300</xdr:colOff>
      <xdr:row>54</xdr:row>
      <xdr:rowOff>28575</xdr:rowOff>
    </xdr:to>
    <xdr:pic>
      <xdr:nvPicPr>
        <xdr:cNvPr id="97" name="ComboBox7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01175" y="6562725"/>
          <a:ext cx="7143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47</xdr:col>
      <xdr:colOff>0</xdr:colOff>
      <xdr:row>54</xdr:row>
      <xdr:rowOff>0</xdr:rowOff>
    </xdr:from>
    <xdr:to>
      <xdr:col>52</xdr:col>
      <xdr:colOff>190500</xdr:colOff>
      <xdr:row>55</xdr:row>
      <xdr:rowOff>28575</xdr:rowOff>
    </xdr:to>
    <xdr:pic>
      <xdr:nvPicPr>
        <xdr:cNvPr id="98" name="ComboBox7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01175" y="6686550"/>
          <a:ext cx="119062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49</xdr:col>
      <xdr:colOff>171450</xdr:colOff>
      <xdr:row>40</xdr:row>
      <xdr:rowOff>95250</xdr:rowOff>
    </xdr:from>
    <xdr:to>
      <xdr:col>50</xdr:col>
      <xdr:colOff>171450</xdr:colOff>
      <xdr:row>41</xdr:row>
      <xdr:rowOff>114300</xdr:rowOff>
    </xdr:to>
    <xdr:sp>
      <xdr:nvSpPr>
        <xdr:cNvPr id="99" name="Rectangle 192"/>
        <xdr:cNvSpPr>
          <a:spLocks/>
        </xdr:cNvSpPr>
      </xdr:nvSpPr>
      <xdr:spPr>
        <a:xfrm>
          <a:off x="9972675" y="5048250"/>
          <a:ext cx="200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p</a:t>
          </a:r>
        </a:p>
      </xdr:txBody>
    </xdr:sp>
    <xdr:clientData/>
  </xdr:twoCellAnchor>
  <xdr:twoCellAnchor>
    <xdr:from>
      <xdr:col>41</xdr:col>
      <xdr:colOff>0</xdr:colOff>
      <xdr:row>49</xdr:row>
      <xdr:rowOff>0</xdr:rowOff>
    </xdr:from>
    <xdr:to>
      <xdr:col>41</xdr:col>
      <xdr:colOff>0</xdr:colOff>
      <xdr:row>50</xdr:row>
      <xdr:rowOff>95250</xdr:rowOff>
    </xdr:to>
    <xdr:sp>
      <xdr:nvSpPr>
        <xdr:cNvPr id="100" name="Line 201"/>
        <xdr:cNvSpPr>
          <a:spLocks/>
        </xdr:cNvSpPr>
      </xdr:nvSpPr>
      <xdr:spPr>
        <a:xfrm>
          <a:off x="8201025" y="60674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46</xdr:col>
      <xdr:colOff>0</xdr:colOff>
      <xdr:row>49</xdr:row>
      <xdr:rowOff>85725</xdr:rowOff>
    </xdr:from>
    <xdr:to>
      <xdr:col>46</xdr:col>
      <xdr:colOff>0</xdr:colOff>
      <xdr:row>52</xdr:row>
      <xdr:rowOff>0</xdr:rowOff>
    </xdr:to>
    <xdr:sp>
      <xdr:nvSpPr>
        <xdr:cNvPr id="101" name="Line 227"/>
        <xdr:cNvSpPr>
          <a:spLocks/>
        </xdr:cNvSpPr>
      </xdr:nvSpPr>
      <xdr:spPr>
        <a:xfrm flipV="1">
          <a:off x="9201150" y="61531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41</xdr:col>
      <xdr:colOff>0</xdr:colOff>
      <xdr:row>28</xdr:row>
      <xdr:rowOff>0</xdr:rowOff>
    </xdr:from>
    <xdr:to>
      <xdr:col>41</xdr:col>
      <xdr:colOff>0</xdr:colOff>
      <xdr:row>30</xdr:row>
      <xdr:rowOff>57150</xdr:rowOff>
    </xdr:to>
    <xdr:sp>
      <xdr:nvSpPr>
        <xdr:cNvPr id="102" name="Line 228"/>
        <xdr:cNvSpPr>
          <a:spLocks/>
        </xdr:cNvSpPr>
      </xdr:nvSpPr>
      <xdr:spPr>
        <a:xfrm>
          <a:off x="8201025" y="34671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38</xdr:col>
      <xdr:colOff>133350</xdr:colOff>
      <xdr:row>64</xdr:row>
      <xdr:rowOff>0</xdr:rowOff>
    </xdr:from>
    <xdr:to>
      <xdr:col>50</xdr:col>
      <xdr:colOff>0</xdr:colOff>
      <xdr:row>65</xdr:row>
      <xdr:rowOff>0</xdr:rowOff>
    </xdr:to>
    <xdr:grpSp>
      <xdr:nvGrpSpPr>
        <xdr:cNvPr id="103" name="Group 233"/>
        <xdr:cNvGrpSpPr>
          <a:grpSpLocks/>
        </xdr:cNvGrpSpPr>
      </xdr:nvGrpSpPr>
      <xdr:grpSpPr>
        <a:xfrm>
          <a:off x="7734300" y="7924800"/>
          <a:ext cx="2266950" cy="123825"/>
          <a:chOff x="854" y="949"/>
          <a:chExt cx="238" cy="13"/>
        </a:xfrm>
        <a:solidFill>
          <a:srgbClr val="FFFFFF"/>
        </a:solidFill>
      </xdr:grpSpPr>
      <xdr:sp>
        <xdr:nvSpPr>
          <xdr:cNvPr id="104" name="Line 234"/>
          <xdr:cNvSpPr>
            <a:spLocks/>
          </xdr:cNvSpPr>
        </xdr:nvSpPr>
        <xdr:spPr>
          <a:xfrm>
            <a:off x="861" y="949"/>
            <a:ext cx="2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5" name="Line 235"/>
          <xdr:cNvSpPr>
            <a:spLocks/>
          </xdr:cNvSpPr>
        </xdr:nvSpPr>
        <xdr:spPr>
          <a:xfrm flipH="1">
            <a:off x="856" y="949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6" name="Line 236"/>
          <xdr:cNvSpPr>
            <a:spLocks/>
          </xdr:cNvSpPr>
        </xdr:nvSpPr>
        <xdr:spPr>
          <a:xfrm flipH="1" flipV="1">
            <a:off x="854" y="958"/>
            <a:ext cx="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38</xdr:col>
      <xdr:colOff>133350</xdr:colOff>
      <xdr:row>65</xdr:row>
      <xdr:rowOff>0</xdr:rowOff>
    </xdr:from>
    <xdr:to>
      <xdr:col>50</xdr:col>
      <xdr:colOff>0</xdr:colOff>
      <xdr:row>66</xdr:row>
      <xdr:rowOff>0</xdr:rowOff>
    </xdr:to>
    <xdr:grpSp>
      <xdr:nvGrpSpPr>
        <xdr:cNvPr id="107" name="Group 237"/>
        <xdr:cNvGrpSpPr>
          <a:grpSpLocks/>
        </xdr:cNvGrpSpPr>
      </xdr:nvGrpSpPr>
      <xdr:grpSpPr>
        <a:xfrm>
          <a:off x="7734300" y="8048625"/>
          <a:ext cx="2266950" cy="123825"/>
          <a:chOff x="854" y="949"/>
          <a:chExt cx="238" cy="13"/>
        </a:xfrm>
        <a:solidFill>
          <a:srgbClr val="FFFFFF"/>
        </a:solidFill>
      </xdr:grpSpPr>
      <xdr:sp>
        <xdr:nvSpPr>
          <xdr:cNvPr id="108" name="Line 238"/>
          <xdr:cNvSpPr>
            <a:spLocks/>
          </xdr:cNvSpPr>
        </xdr:nvSpPr>
        <xdr:spPr>
          <a:xfrm>
            <a:off x="861" y="949"/>
            <a:ext cx="2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9" name="Line 239"/>
          <xdr:cNvSpPr>
            <a:spLocks/>
          </xdr:cNvSpPr>
        </xdr:nvSpPr>
        <xdr:spPr>
          <a:xfrm flipH="1">
            <a:off x="856" y="949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0" name="Line 240"/>
          <xdr:cNvSpPr>
            <a:spLocks/>
          </xdr:cNvSpPr>
        </xdr:nvSpPr>
        <xdr:spPr>
          <a:xfrm flipH="1" flipV="1">
            <a:off x="854" y="958"/>
            <a:ext cx="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15</xdr:row>
      <xdr:rowOff>0</xdr:rowOff>
    </xdr:from>
    <xdr:to>
      <xdr:col>14</xdr:col>
      <xdr:colOff>0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600200" y="1857375"/>
          <a:ext cx="1200150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1600200" y="2105025"/>
          <a:ext cx="0" cy="371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14</xdr:col>
      <xdr:colOff>0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600200" y="2228850"/>
          <a:ext cx="1200150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>
          <a:off x="2800350" y="1857375"/>
          <a:ext cx="0" cy="371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66675</xdr:colOff>
      <xdr:row>17</xdr:row>
      <xdr:rowOff>66675</xdr:rowOff>
    </xdr:from>
    <xdr:to>
      <xdr:col>8</xdr:col>
      <xdr:colOff>0</xdr:colOff>
      <xdr:row>17</xdr:row>
      <xdr:rowOff>95250</xdr:rowOff>
    </xdr:to>
    <xdr:sp>
      <xdr:nvSpPr>
        <xdr:cNvPr id="5" name="Line 10"/>
        <xdr:cNvSpPr>
          <a:spLocks/>
        </xdr:cNvSpPr>
      </xdr:nvSpPr>
      <xdr:spPr>
        <a:xfrm flipV="1">
          <a:off x="1466850" y="2171700"/>
          <a:ext cx="1333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85725</xdr:rowOff>
    </xdr:from>
    <xdr:to>
      <xdr:col>9</xdr:col>
      <xdr:colOff>0</xdr:colOff>
      <xdr:row>20</xdr:row>
      <xdr:rowOff>85725</xdr:rowOff>
    </xdr:to>
    <xdr:sp>
      <xdr:nvSpPr>
        <xdr:cNvPr id="6" name="Line 11"/>
        <xdr:cNvSpPr>
          <a:spLocks/>
        </xdr:cNvSpPr>
      </xdr:nvSpPr>
      <xdr:spPr>
        <a:xfrm flipV="1">
          <a:off x="1800225" y="24384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38100</xdr:rowOff>
    </xdr:from>
    <xdr:to>
      <xdr:col>13</xdr:col>
      <xdr:colOff>0</xdr:colOff>
      <xdr:row>19</xdr:row>
      <xdr:rowOff>38100</xdr:rowOff>
    </xdr:to>
    <xdr:sp>
      <xdr:nvSpPr>
        <xdr:cNvPr id="7" name="Line 12"/>
        <xdr:cNvSpPr>
          <a:spLocks/>
        </xdr:cNvSpPr>
      </xdr:nvSpPr>
      <xdr:spPr>
        <a:xfrm flipV="1">
          <a:off x="2600325" y="22669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38100</xdr:rowOff>
    </xdr:from>
    <xdr:to>
      <xdr:col>14</xdr:col>
      <xdr:colOff>133350</xdr:colOff>
      <xdr:row>15</xdr:row>
      <xdr:rowOff>66675</xdr:rowOff>
    </xdr:to>
    <xdr:sp>
      <xdr:nvSpPr>
        <xdr:cNvPr id="8" name="Line 13"/>
        <xdr:cNvSpPr>
          <a:spLocks/>
        </xdr:cNvSpPr>
      </xdr:nvSpPr>
      <xdr:spPr>
        <a:xfrm flipH="1">
          <a:off x="2800350" y="1895475"/>
          <a:ext cx="1333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47625</xdr:rowOff>
    </xdr:from>
    <xdr:to>
      <xdr:col>10</xdr:col>
      <xdr:colOff>0</xdr:colOff>
      <xdr:row>20</xdr:row>
      <xdr:rowOff>47625</xdr:rowOff>
    </xdr:to>
    <xdr:sp>
      <xdr:nvSpPr>
        <xdr:cNvPr id="9" name="Line 15"/>
        <xdr:cNvSpPr>
          <a:spLocks/>
        </xdr:cNvSpPr>
      </xdr:nvSpPr>
      <xdr:spPr>
        <a:xfrm flipV="1">
          <a:off x="2000250" y="24003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85725</xdr:rowOff>
    </xdr:from>
    <xdr:to>
      <xdr:col>12</xdr:col>
      <xdr:colOff>0</xdr:colOff>
      <xdr:row>19</xdr:row>
      <xdr:rowOff>85725</xdr:rowOff>
    </xdr:to>
    <xdr:sp>
      <xdr:nvSpPr>
        <xdr:cNvPr id="10" name="Line 16"/>
        <xdr:cNvSpPr>
          <a:spLocks/>
        </xdr:cNvSpPr>
      </xdr:nvSpPr>
      <xdr:spPr>
        <a:xfrm flipV="1">
          <a:off x="2400300" y="23145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38100</xdr:rowOff>
    </xdr:from>
    <xdr:to>
      <xdr:col>13</xdr:col>
      <xdr:colOff>0</xdr:colOff>
      <xdr:row>15</xdr:row>
      <xdr:rowOff>38100</xdr:rowOff>
    </xdr:to>
    <xdr:sp>
      <xdr:nvSpPr>
        <xdr:cNvPr id="11" name="Line 19"/>
        <xdr:cNvSpPr>
          <a:spLocks/>
        </xdr:cNvSpPr>
      </xdr:nvSpPr>
      <xdr:spPr>
        <a:xfrm>
          <a:off x="2600325" y="17716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57150</xdr:rowOff>
    </xdr:from>
    <xdr:to>
      <xdr:col>8</xdr:col>
      <xdr:colOff>0</xdr:colOff>
      <xdr:row>18</xdr:row>
      <xdr:rowOff>85725</xdr:rowOff>
    </xdr:to>
    <xdr:sp>
      <xdr:nvSpPr>
        <xdr:cNvPr id="12" name="Line 20"/>
        <xdr:cNvSpPr>
          <a:spLocks/>
        </xdr:cNvSpPr>
      </xdr:nvSpPr>
      <xdr:spPr>
        <a:xfrm flipV="1">
          <a:off x="1466850" y="2286000"/>
          <a:ext cx="1333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133350</xdr:colOff>
      <xdr:row>17</xdr:row>
      <xdr:rowOff>47625</xdr:rowOff>
    </xdr:to>
    <xdr:sp>
      <xdr:nvSpPr>
        <xdr:cNvPr id="13" name="Line 21"/>
        <xdr:cNvSpPr>
          <a:spLocks/>
        </xdr:cNvSpPr>
      </xdr:nvSpPr>
      <xdr:spPr>
        <a:xfrm flipH="1">
          <a:off x="2800350" y="2124075"/>
          <a:ext cx="1333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20</xdr:row>
      <xdr:rowOff>0</xdr:rowOff>
    </xdr:to>
    <xdr:sp>
      <xdr:nvSpPr>
        <xdr:cNvPr id="14" name="Line 27"/>
        <xdr:cNvSpPr>
          <a:spLocks/>
        </xdr:cNvSpPr>
      </xdr:nvSpPr>
      <xdr:spPr>
        <a:xfrm flipV="1">
          <a:off x="2200275" y="23526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38100</xdr:rowOff>
    </xdr:from>
    <xdr:to>
      <xdr:col>10</xdr:col>
      <xdr:colOff>0</xdr:colOff>
      <xdr:row>16</xdr:row>
      <xdr:rowOff>38100</xdr:rowOff>
    </xdr:to>
    <xdr:sp>
      <xdr:nvSpPr>
        <xdr:cNvPr id="15" name="Line 29"/>
        <xdr:cNvSpPr>
          <a:spLocks/>
        </xdr:cNvSpPr>
      </xdr:nvSpPr>
      <xdr:spPr>
        <a:xfrm>
          <a:off x="2000250" y="18954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76200</xdr:rowOff>
    </xdr:from>
    <xdr:to>
      <xdr:col>12</xdr:col>
      <xdr:colOff>0</xdr:colOff>
      <xdr:row>15</xdr:row>
      <xdr:rowOff>76200</xdr:rowOff>
    </xdr:to>
    <xdr:sp>
      <xdr:nvSpPr>
        <xdr:cNvPr id="16" name="Line 30"/>
        <xdr:cNvSpPr>
          <a:spLocks/>
        </xdr:cNvSpPr>
      </xdr:nvSpPr>
      <xdr:spPr>
        <a:xfrm>
          <a:off x="2400300" y="18097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66675</xdr:colOff>
      <xdr:row>19</xdr:row>
      <xdr:rowOff>57150</xdr:rowOff>
    </xdr:from>
    <xdr:to>
      <xdr:col>8</xdr:col>
      <xdr:colOff>0</xdr:colOff>
      <xdr:row>19</xdr:row>
      <xdr:rowOff>85725</xdr:rowOff>
    </xdr:to>
    <xdr:sp>
      <xdr:nvSpPr>
        <xdr:cNvPr id="17" name="Line 31"/>
        <xdr:cNvSpPr>
          <a:spLocks/>
        </xdr:cNvSpPr>
      </xdr:nvSpPr>
      <xdr:spPr>
        <a:xfrm flipV="1">
          <a:off x="1466850" y="2409825"/>
          <a:ext cx="1333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28575</xdr:rowOff>
    </xdr:from>
    <xdr:to>
      <xdr:col>14</xdr:col>
      <xdr:colOff>133350</xdr:colOff>
      <xdr:row>16</xdr:row>
      <xdr:rowOff>57150</xdr:rowOff>
    </xdr:to>
    <xdr:sp>
      <xdr:nvSpPr>
        <xdr:cNvPr id="18" name="Line 32"/>
        <xdr:cNvSpPr>
          <a:spLocks/>
        </xdr:cNvSpPr>
      </xdr:nvSpPr>
      <xdr:spPr>
        <a:xfrm flipH="1">
          <a:off x="2800350" y="2009775"/>
          <a:ext cx="1333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76200</xdr:rowOff>
    </xdr:from>
    <xdr:to>
      <xdr:col>9</xdr:col>
      <xdr:colOff>0</xdr:colOff>
      <xdr:row>16</xdr:row>
      <xdr:rowOff>76200</xdr:rowOff>
    </xdr:to>
    <xdr:sp>
      <xdr:nvSpPr>
        <xdr:cNvPr id="19" name="Line 33"/>
        <xdr:cNvSpPr>
          <a:spLocks/>
        </xdr:cNvSpPr>
      </xdr:nvSpPr>
      <xdr:spPr>
        <a:xfrm>
          <a:off x="1800225" y="19335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16</xdr:row>
      <xdr:rowOff>0</xdr:rowOff>
    </xdr:to>
    <xdr:sp>
      <xdr:nvSpPr>
        <xdr:cNvPr id="20" name="Line 34"/>
        <xdr:cNvSpPr>
          <a:spLocks/>
        </xdr:cNvSpPr>
      </xdr:nvSpPr>
      <xdr:spPr>
        <a:xfrm>
          <a:off x="2200275" y="18573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76200</xdr:colOff>
      <xdr:row>14</xdr:row>
      <xdr:rowOff>57150</xdr:rowOff>
    </xdr:from>
    <xdr:to>
      <xdr:col>15</xdr:col>
      <xdr:colOff>142875</xdr:colOff>
      <xdr:row>14</xdr:row>
      <xdr:rowOff>104775</xdr:rowOff>
    </xdr:to>
    <xdr:sp>
      <xdr:nvSpPr>
        <xdr:cNvPr id="21" name="Line 37"/>
        <xdr:cNvSpPr>
          <a:spLocks/>
        </xdr:cNvSpPr>
      </xdr:nvSpPr>
      <xdr:spPr>
        <a:xfrm flipV="1">
          <a:off x="2876550" y="1790700"/>
          <a:ext cx="2667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66675</xdr:colOff>
      <xdr:row>17</xdr:row>
      <xdr:rowOff>47625</xdr:rowOff>
    </xdr:from>
    <xdr:to>
      <xdr:col>15</xdr:col>
      <xdr:colOff>152400</xdr:colOff>
      <xdr:row>17</xdr:row>
      <xdr:rowOff>104775</xdr:rowOff>
    </xdr:to>
    <xdr:sp>
      <xdr:nvSpPr>
        <xdr:cNvPr id="22" name="Line 38"/>
        <xdr:cNvSpPr>
          <a:spLocks/>
        </xdr:cNvSpPr>
      </xdr:nvSpPr>
      <xdr:spPr>
        <a:xfrm flipH="1">
          <a:off x="2867025" y="2152650"/>
          <a:ext cx="2857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57150</xdr:rowOff>
    </xdr:from>
    <xdr:to>
      <xdr:col>8</xdr:col>
      <xdr:colOff>0</xdr:colOff>
      <xdr:row>22</xdr:row>
      <xdr:rowOff>0</xdr:rowOff>
    </xdr:to>
    <xdr:sp>
      <xdr:nvSpPr>
        <xdr:cNvPr id="23" name="Line 39"/>
        <xdr:cNvSpPr>
          <a:spLocks/>
        </xdr:cNvSpPr>
      </xdr:nvSpPr>
      <xdr:spPr>
        <a:xfrm>
          <a:off x="1600200" y="25336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57150</xdr:rowOff>
    </xdr:from>
    <xdr:to>
      <xdr:col>14</xdr:col>
      <xdr:colOff>0</xdr:colOff>
      <xdr:row>20</xdr:row>
      <xdr:rowOff>0</xdr:rowOff>
    </xdr:to>
    <xdr:sp>
      <xdr:nvSpPr>
        <xdr:cNvPr id="24" name="Line 40"/>
        <xdr:cNvSpPr>
          <a:spLocks/>
        </xdr:cNvSpPr>
      </xdr:nvSpPr>
      <xdr:spPr>
        <a:xfrm>
          <a:off x="2800350" y="22860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76200</xdr:rowOff>
    </xdr:from>
    <xdr:to>
      <xdr:col>14</xdr:col>
      <xdr:colOff>0</xdr:colOff>
      <xdr:row>21</xdr:row>
      <xdr:rowOff>76200</xdr:rowOff>
    </xdr:to>
    <xdr:sp>
      <xdr:nvSpPr>
        <xdr:cNvPr id="25" name="Line 41"/>
        <xdr:cNvSpPr>
          <a:spLocks/>
        </xdr:cNvSpPr>
      </xdr:nvSpPr>
      <xdr:spPr>
        <a:xfrm flipV="1">
          <a:off x="1600200" y="2428875"/>
          <a:ext cx="12001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76200</xdr:colOff>
      <xdr:row>14</xdr:row>
      <xdr:rowOff>66675</xdr:rowOff>
    </xdr:from>
    <xdr:to>
      <xdr:col>15</xdr:col>
      <xdr:colOff>76200</xdr:colOff>
      <xdr:row>17</xdr:row>
      <xdr:rowOff>76200</xdr:rowOff>
    </xdr:to>
    <xdr:sp>
      <xdr:nvSpPr>
        <xdr:cNvPr id="26" name="Line 43"/>
        <xdr:cNvSpPr>
          <a:spLocks/>
        </xdr:cNvSpPr>
      </xdr:nvSpPr>
      <xdr:spPr>
        <a:xfrm>
          <a:off x="3076575" y="18002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104775</xdr:rowOff>
    </xdr:from>
    <xdr:to>
      <xdr:col>13</xdr:col>
      <xdr:colOff>0</xdr:colOff>
      <xdr:row>14</xdr:row>
      <xdr:rowOff>0</xdr:rowOff>
    </xdr:to>
    <xdr:sp>
      <xdr:nvSpPr>
        <xdr:cNvPr id="27" name="Rectangle 44"/>
        <xdr:cNvSpPr>
          <a:spLocks/>
        </xdr:cNvSpPr>
      </xdr:nvSpPr>
      <xdr:spPr>
        <a:xfrm>
          <a:off x="1800225" y="1590675"/>
          <a:ext cx="800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SmB  or  ScrB</a:t>
          </a:r>
        </a:p>
      </xdr:txBody>
    </xdr:sp>
    <xdr:clientData/>
  </xdr:twoCellAnchor>
  <xdr:twoCellAnchor>
    <xdr:from>
      <xdr:col>3</xdr:col>
      <xdr:colOff>0</xdr:colOff>
      <xdr:row>17</xdr:row>
      <xdr:rowOff>104775</xdr:rowOff>
    </xdr:from>
    <xdr:to>
      <xdr:col>7</xdr:col>
      <xdr:colOff>0</xdr:colOff>
      <xdr:row>19</xdr:row>
      <xdr:rowOff>0</xdr:rowOff>
    </xdr:to>
    <xdr:sp>
      <xdr:nvSpPr>
        <xdr:cNvPr id="28" name="Rectangle 45"/>
        <xdr:cNvSpPr>
          <a:spLocks/>
        </xdr:cNvSpPr>
      </xdr:nvSpPr>
      <xdr:spPr>
        <a:xfrm>
          <a:off x="600075" y="2209800"/>
          <a:ext cx="800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SmA  or  ScrA</a:t>
          </a:r>
        </a:p>
      </xdr:txBody>
    </xdr:sp>
    <xdr:clientData/>
  </xdr:twoCellAnchor>
  <xdr:twoCellAnchor>
    <xdr:from>
      <xdr:col>16</xdr:col>
      <xdr:colOff>0</xdr:colOff>
      <xdr:row>14</xdr:row>
      <xdr:rowOff>104775</xdr:rowOff>
    </xdr:from>
    <xdr:to>
      <xdr:col>21</xdr:col>
      <xdr:colOff>0</xdr:colOff>
      <xdr:row>16</xdr:row>
      <xdr:rowOff>0</xdr:rowOff>
    </xdr:to>
    <xdr:sp>
      <xdr:nvSpPr>
        <xdr:cNvPr id="29" name="Rectangle 46"/>
        <xdr:cNvSpPr>
          <a:spLocks/>
        </xdr:cNvSpPr>
      </xdr:nvSpPr>
      <xdr:spPr>
        <a:xfrm>
          <a:off x="3200400" y="1838325"/>
          <a:ext cx="10001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H  or  h  for  Sides</a:t>
          </a:r>
        </a:p>
      </xdr:txBody>
    </xdr:sp>
    <xdr:clientData/>
  </xdr:twoCellAnchor>
  <xdr:twoCellAnchor>
    <xdr:from>
      <xdr:col>8</xdr:col>
      <xdr:colOff>0</xdr:colOff>
      <xdr:row>21</xdr:row>
      <xdr:rowOff>85725</xdr:rowOff>
    </xdr:from>
    <xdr:to>
      <xdr:col>13</xdr:col>
      <xdr:colOff>0</xdr:colOff>
      <xdr:row>22</xdr:row>
      <xdr:rowOff>104775</xdr:rowOff>
    </xdr:to>
    <xdr:sp>
      <xdr:nvSpPr>
        <xdr:cNvPr id="30" name="Rectangle 48"/>
        <xdr:cNvSpPr>
          <a:spLocks/>
        </xdr:cNvSpPr>
      </xdr:nvSpPr>
      <xdr:spPr>
        <a:xfrm>
          <a:off x="1600200" y="2686050"/>
          <a:ext cx="10001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Lv  for  Sides</a:t>
          </a:r>
        </a:p>
      </xdr:txBody>
    </xdr:sp>
    <xdr:clientData/>
  </xdr:twoCellAnchor>
  <xdr:twoCellAnchor>
    <xdr:from>
      <xdr:col>16</xdr:col>
      <xdr:colOff>0</xdr:colOff>
      <xdr:row>16</xdr:row>
      <xdr:rowOff>0</xdr:rowOff>
    </xdr:from>
    <xdr:to>
      <xdr:col>21</xdr:col>
      <xdr:colOff>0</xdr:colOff>
      <xdr:row>17</xdr:row>
      <xdr:rowOff>19050</xdr:rowOff>
    </xdr:to>
    <xdr:sp>
      <xdr:nvSpPr>
        <xdr:cNvPr id="31" name="Rectangle 50"/>
        <xdr:cNvSpPr>
          <a:spLocks/>
        </xdr:cNvSpPr>
      </xdr:nvSpPr>
      <xdr:spPr>
        <a:xfrm>
          <a:off x="3200400" y="1981200"/>
          <a:ext cx="10001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H  or  h  for  Ends</a:t>
          </a:r>
        </a:p>
      </xdr:txBody>
    </xdr:sp>
    <xdr:clientData/>
  </xdr:twoCellAnchor>
  <xdr:twoCellAnchor>
    <xdr:from>
      <xdr:col>8</xdr:col>
      <xdr:colOff>0</xdr:colOff>
      <xdr:row>22</xdr:row>
      <xdr:rowOff>104775</xdr:rowOff>
    </xdr:from>
    <xdr:to>
      <xdr:col>13</xdr:col>
      <xdr:colOff>0</xdr:colOff>
      <xdr:row>24</xdr:row>
      <xdr:rowOff>0</xdr:rowOff>
    </xdr:to>
    <xdr:sp>
      <xdr:nvSpPr>
        <xdr:cNvPr id="32" name="Rectangle 51"/>
        <xdr:cNvSpPr>
          <a:spLocks/>
        </xdr:cNvSpPr>
      </xdr:nvSpPr>
      <xdr:spPr>
        <a:xfrm>
          <a:off x="1600200" y="2828925"/>
          <a:ext cx="10001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h  for  Ends</a:t>
          </a:r>
        </a:p>
      </xdr:txBody>
    </xdr:sp>
    <xdr:clientData/>
  </xdr:twoCellAnchor>
  <xdr:twoCellAnchor>
    <xdr:from>
      <xdr:col>15</xdr:col>
      <xdr:colOff>0</xdr:colOff>
      <xdr:row>20</xdr:row>
      <xdr:rowOff>104775</xdr:rowOff>
    </xdr:from>
    <xdr:to>
      <xdr:col>19</xdr:col>
      <xdr:colOff>0</xdr:colOff>
      <xdr:row>22</xdr:row>
      <xdr:rowOff>0</xdr:rowOff>
    </xdr:to>
    <xdr:sp>
      <xdr:nvSpPr>
        <xdr:cNvPr id="33" name="Rectangle 52"/>
        <xdr:cNvSpPr>
          <a:spLocks/>
        </xdr:cNvSpPr>
      </xdr:nvSpPr>
      <xdr:spPr>
        <a:xfrm>
          <a:off x="3000375" y="2581275"/>
          <a:ext cx="800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h  &gt;=  H</a:t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19</xdr:col>
      <xdr:colOff>0</xdr:colOff>
      <xdr:row>23</xdr:row>
      <xdr:rowOff>19050</xdr:rowOff>
    </xdr:to>
    <xdr:sp>
      <xdr:nvSpPr>
        <xdr:cNvPr id="34" name="Rectangle 53"/>
        <xdr:cNvSpPr>
          <a:spLocks/>
        </xdr:cNvSpPr>
      </xdr:nvSpPr>
      <xdr:spPr>
        <a:xfrm>
          <a:off x="3000375" y="2724150"/>
          <a:ext cx="800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Lv  &gt;=  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AF63"/>
  <sheetViews>
    <sheetView view="pageBreakPreview" zoomScaleSheetLayoutView="100" workbookViewId="0" topLeftCell="A1">
      <selection activeCell="S6" sqref="S6"/>
    </sheetView>
  </sheetViews>
  <sheetFormatPr defaultColWidth="8.88671875" defaultRowHeight="13.5"/>
  <cols>
    <col min="1" max="28" width="2.77734375" style="95" customWidth="1"/>
    <col min="29" max="38" width="2.77734375" style="94" customWidth="1"/>
    <col min="39" max="16384" width="8.88671875" style="95" customWidth="1"/>
  </cols>
  <sheetData>
    <row r="1" spans="1:32" ht="11.25" customHeight="1">
      <c r="A1" s="206" t="s">
        <v>257</v>
      </c>
      <c r="B1" s="206"/>
      <c r="C1" s="206"/>
      <c r="D1" s="206"/>
      <c r="E1" s="206"/>
      <c r="F1" s="206"/>
      <c r="G1" s="206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2"/>
      <c r="AD1" s="93"/>
      <c r="AE1" s="93"/>
      <c r="AF1" s="93"/>
    </row>
    <row r="2" spans="1:29" ht="11.25" customHeight="1">
      <c r="A2" s="207"/>
      <c r="B2" s="207"/>
      <c r="C2" s="207"/>
      <c r="D2" s="207"/>
      <c r="E2" s="207"/>
      <c r="F2" s="207"/>
      <c r="G2" s="207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  <c r="W2" s="97"/>
      <c r="X2" s="97"/>
      <c r="Y2" s="97"/>
      <c r="Z2" s="97"/>
      <c r="AA2" s="97"/>
      <c r="AB2" s="97"/>
      <c r="AC2" s="98"/>
    </row>
    <row r="3" spans="1:32" ht="11.25" customHeight="1">
      <c r="A3" s="216" t="str">
        <f>sc_title</f>
        <v>S T R E N G T H     C A L C U L A T I O N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99"/>
      <c r="AD3" s="93"/>
      <c r="AE3" s="93"/>
      <c r="AF3" s="93"/>
    </row>
    <row r="4" spans="1:32" ht="11.25" customHeight="1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99"/>
      <c r="AD4" s="93"/>
      <c r="AE4" s="93"/>
      <c r="AF4" s="93"/>
    </row>
    <row r="5" spans="1:32" ht="11.2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7"/>
      <c r="R5" s="97"/>
      <c r="S5" s="97"/>
      <c r="T5" s="97"/>
      <c r="U5" s="96" t="s">
        <v>258</v>
      </c>
      <c r="V5" s="97"/>
      <c r="W5" s="97"/>
      <c r="X5" s="218" t="s">
        <v>308</v>
      </c>
      <c r="Y5" s="218"/>
      <c r="Z5" s="218"/>
      <c r="AA5" s="218"/>
      <c r="AB5" s="218"/>
      <c r="AC5" s="92"/>
      <c r="AD5" s="93"/>
      <c r="AE5" s="93"/>
      <c r="AF5" s="93"/>
    </row>
    <row r="6" spans="1:32" ht="11.25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 t="s">
        <v>259</v>
      </c>
      <c r="V6" s="97"/>
      <c r="W6" s="97"/>
      <c r="X6" s="219" t="s">
        <v>416</v>
      </c>
      <c r="Y6" s="219"/>
      <c r="Z6" s="219"/>
      <c r="AA6" s="219"/>
      <c r="AB6" s="219"/>
      <c r="AC6" s="92"/>
      <c r="AD6" s="93"/>
      <c r="AE6" s="93"/>
      <c r="AF6" s="93"/>
    </row>
    <row r="7" spans="1:32" ht="11.2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 t="s">
        <v>260</v>
      </c>
      <c r="V7" s="97"/>
      <c r="W7" s="97"/>
      <c r="X7" s="100">
        <v>0</v>
      </c>
      <c r="Y7" s="101"/>
      <c r="Z7" s="101"/>
      <c r="AA7" s="101"/>
      <c r="AB7" s="101"/>
      <c r="AC7" s="92"/>
      <c r="AD7" s="93"/>
      <c r="AE7" s="93"/>
      <c r="AF7" s="93"/>
    </row>
    <row r="8" spans="1:29" ht="11.25" customHeight="1">
      <c r="A8" s="96"/>
      <c r="B8" s="102" t="s">
        <v>261</v>
      </c>
      <c r="C8" s="32" t="s">
        <v>262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 t="s">
        <v>263</v>
      </c>
      <c r="V8" s="97"/>
      <c r="W8" s="97"/>
      <c r="X8" s="97"/>
      <c r="Y8" s="103">
        <v>1</v>
      </c>
      <c r="Z8" s="100" t="s">
        <v>264</v>
      </c>
      <c r="AA8" s="104">
        <v>1</v>
      </c>
      <c r="AB8" s="100"/>
      <c r="AC8" s="98"/>
    </row>
    <row r="9" spans="1:29" ht="11.25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7"/>
      <c r="W9" s="97"/>
      <c r="X9" s="97"/>
      <c r="Y9" s="97"/>
      <c r="Z9" s="97"/>
      <c r="AA9" s="97"/>
      <c r="AB9" s="97"/>
      <c r="AC9" s="98"/>
    </row>
    <row r="10" spans="1:29" ht="11.25" customHeight="1">
      <c r="A10" s="105"/>
      <c r="B10" s="105"/>
      <c r="C10" s="105" t="s">
        <v>307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97"/>
      <c r="W10" s="97"/>
      <c r="X10" s="97"/>
      <c r="Y10" s="97"/>
      <c r="Z10" s="97"/>
      <c r="AA10" s="97"/>
      <c r="AB10" s="97"/>
      <c r="AC10" s="98"/>
    </row>
    <row r="11" spans="1:29" ht="11.25" customHeight="1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97"/>
      <c r="W11" s="97"/>
      <c r="X11" s="97"/>
      <c r="Y11" s="97"/>
      <c r="Z11" s="97"/>
      <c r="AA11" s="97"/>
      <c r="AB11" s="97"/>
      <c r="AC11" s="98"/>
    </row>
    <row r="12" spans="1:29" ht="11.25" customHeight="1">
      <c r="A12" s="105"/>
      <c r="B12" s="102" t="s">
        <v>265</v>
      </c>
      <c r="C12" s="32" t="s">
        <v>266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97"/>
      <c r="W12" s="97"/>
      <c r="X12" s="97"/>
      <c r="Y12" s="97"/>
      <c r="Z12" s="97"/>
      <c r="AA12" s="97"/>
      <c r="AB12" s="97"/>
      <c r="AC12" s="98"/>
    </row>
    <row r="13" spans="1:29" ht="11.25" customHeight="1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97"/>
      <c r="W13" s="97"/>
      <c r="X13" s="97"/>
      <c r="Y13" s="97"/>
      <c r="Z13" s="97"/>
      <c r="AA13" s="97"/>
      <c r="AB13" s="97"/>
      <c r="AC13" s="98"/>
    </row>
    <row r="14" spans="1:29" ht="11.25" customHeight="1">
      <c r="A14" s="96"/>
      <c r="B14" s="96"/>
      <c r="C14" s="96" t="s">
        <v>267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7"/>
      <c r="W14" s="97"/>
      <c r="X14" s="97"/>
      <c r="Y14" s="97"/>
      <c r="Z14" s="97"/>
      <c r="AA14" s="97"/>
      <c r="AB14" s="97"/>
      <c r="AC14" s="98"/>
    </row>
    <row r="15" spans="1:29" ht="11.25" customHeight="1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97"/>
      <c r="W15" s="97"/>
      <c r="X15" s="97"/>
      <c r="Y15" s="97"/>
      <c r="Z15" s="97"/>
      <c r="AA15" s="97"/>
      <c r="AB15" s="97"/>
      <c r="AC15" s="98"/>
    </row>
    <row r="16" spans="1:21" ht="11.25" customHeight="1">
      <c r="A16" s="105"/>
      <c r="B16" s="105"/>
      <c r="C16" s="106" t="s">
        <v>268</v>
      </c>
      <c r="D16" s="107" t="s">
        <v>310</v>
      </c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</row>
    <row r="17" spans="1:21" ht="11.25" customHeight="1">
      <c r="A17" s="105"/>
      <c r="B17" s="105"/>
      <c r="C17" s="105"/>
      <c r="D17" s="105" t="s">
        <v>311</v>
      </c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</row>
    <row r="18" spans="1:21" ht="11.25" customHeight="1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</row>
    <row r="19" spans="1:21" ht="11.25" customHeight="1">
      <c r="A19" s="105"/>
      <c r="B19" s="102" t="s">
        <v>269</v>
      </c>
      <c r="C19" s="32" t="s">
        <v>270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</row>
    <row r="20" spans="1:21" ht="11.25" customHeight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</row>
    <row r="21" spans="1:26" ht="11.25" customHeight="1">
      <c r="A21" s="105"/>
      <c r="B21" s="105"/>
      <c r="C21" s="215" t="s">
        <v>271</v>
      </c>
      <c r="D21" s="215"/>
      <c r="E21" s="215"/>
      <c r="F21" s="215"/>
      <c r="G21" s="215"/>
      <c r="H21" s="215"/>
      <c r="I21" s="215"/>
      <c r="J21" s="214" t="s">
        <v>259</v>
      </c>
      <c r="K21" s="215"/>
      <c r="L21" s="205"/>
      <c r="M21" s="214" t="s">
        <v>272</v>
      </c>
      <c r="N21" s="215"/>
      <c r="O21" s="205"/>
      <c r="P21" s="215" t="s">
        <v>273</v>
      </c>
      <c r="Q21" s="215"/>
      <c r="R21" s="215"/>
      <c r="S21" s="215"/>
      <c r="T21" s="215"/>
      <c r="U21" s="215"/>
      <c r="V21" s="215"/>
      <c r="W21" s="215"/>
      <c r="X21" s="215"/>
      <c r="Y21" s="215"/>
      <c r="Z21" s="215"/>
    </row>
    <row r="22" spans="1:26" ht="11.25" customHeight="1">
      <c r="A22" s="105"/>
      <c r="B22" s="105"/>
      <c r="C22" s="124" t="s">
        <v>420</v>
      </c>
      <c r="D22" s="124"/>
      <c r="E22" s="124"/>
      <c r="F22" s="124"/>
      <c r="G22" s="124"/>
      <c r="H22" s="124"/>
      <c r="I22" s="124"/>
      <c r="J22" s="208" t="s">
        <v>419</v>
      </c>
      <c r="K22" s="209"/>
      <c r="L22" s="209"/>
      <c r="M22" s="210">
        <v>0</v>
      </c>
      <c r="N22" s="211"/>
      <c r="O22" s="212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</row>
    <row r="23" spans="1:26" ht="11.25" customHeight="1">
      <c r="A23" s="105"/>
      <c r="B23" s="105"/>
      <c r="C23" s="125" t="s">
        <v>421</v>
      </c>
      <c r="D23" s="125"/>
      <c r="E23" s="125"/>
      <c r="F23" s="125"/>
      <c r="G23" s="125"/>
      <c r="H23" s="125"/>
      <c r="I23" s="125"/>
      <c r="J23" s="226" t="s">
        <v>418</v>
      </c>
      <c r="K23" s="227"/>
      <c r="L23" s="227"/>
      <c r="M23" s="228">
        <v>1</v>
      </c>
      <c r="N23" s="225"/>
      <c r="O23" s="224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</row>
    <row r="24" spans="1:26" ht="11.25" customHeight="1">
      <c r="A24" s="105"/>
      <c r="B24" s="105"/>
      <c r="C24" s="125" t="s">
        <v>685</v>
      </c>
      <c r="D24" s="125"/>
      <c r="E24" s="125"/>
      <c r="F24" s="125"/>
      <c r="G24" s="125"/>
      <c r="H24" s="125"/>
      <c r="I24" s="125"/>
      <c r="J24" s="226" t="s">
        <v>686</v>
      </c>
      <c r="K24" s="227"/>
      <c r="L24" s="227"/>
      <c r="M24" s="228">
        <v>2</v>
      </c>
      <c r="N24" s="225"/>
      <c r="O24" s="224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</row>
    <row r="25" spans="1:26" ht="11.25" customHeight="1">
      <c r="A25" s="105"/>
      <c r="B25" s="105"/>
      <c r="C25" s="125" t="s">
        <v>687</v>
      </c>
      <c r="D25" s="125"/>
      <c r="E25" s="125"/>
      <c r="F25" s="125"/>
      <c r="G25" s="125"/>
      <c r="H25" s="125"/>
      <c r="I25" s="125"/>
      <c r="J25" s="226" t="s">
        <v>669</v>
      </c>
      <c r="K25" s="227"/>
      <c r="L25" s="227"/>
      <c r="M25" s="228">
        <v>3</v>
      </c>
      <c r="N25" s="225"/>
      <c r="O25" s="224"/>
      <c r="P25" s="109"/>
      <c r="Q25" s="109" t="s">
        <v>670</v>
      </c>
      <c r="R25" s="109"/>
      <c r="S25" s="109"/>
      <c r="T25" s="109"/>
      <c r="U25" s="202" t="s">
        <v>671</v>
      </c>
      <c r="V25" s="109" t="s">
        <v>672</v>
      </c>
      <c r="W25" s="109"/>
      <c r="X25" s="109"/>
      <c r="Y25" s="109"/>
      <c r="Z25" s="109"/>
    </row>
    <row r="26" spans="1:26" ht="11.25" customHeight="1">
      <c r="A26" s="105"/>
      <c r="B26" s="105"/>
      <c r="C26" s="125" t="s">
        <v>673</v>
      </c>
      <c r="D26" s="125"/>
      <c r="E26" s="125"/>
      <c r="F26" s="125"/>
      <c r="G26" s="125"/>
      <c r="H26" s="125"/>
      <c r="I26" s="125"/>
      <c r="J26" s="226" t="s">
        <v>668</v>
      </c>
      <c r="K26" s="227"/>
      <c r="L26" s="227"/>
      <c r="M26" s="228">
        <v>4</v>
      </c>
      <c r="N26" s="225"/>
      <c r="O26" s="224"/>
      <c r="P26" s="109"/>
      <c r="Q26" s="109" t="s">
        <v>505</v>
      </c>
      <c r="R26" s="109" t="s">
        <v>674</v>
      </c>
      <c r="S26" s="109"/>
      <c r="T26" s="109"/>
      <c r="U26" s="109"/>
      <c r="V26" s="109"/>
      <c r="W26" s="109"/>
      <c r="X26" s="109"/>
      <c r="Y26" s="109"/>
      <c r="Z26" s="109"/>
    </row>
    <row r="27" spans="1:26" ht="11.25" customHeight="1">
      <c r="A27" s="105"/>
      <c r="B27" s="105"/>
      <c r="C27" s="125"/>
      <c r="D27" s="125"/>
      <c r="E27" s="125"/>
      <c r="F27" s="125"/>
      <c r="G27" s="125"/>
      <c r="H27" s="125"/>
      <c r="I27" s="125"/>
      <c r="J27" s="226"/>
      <c r="K27" s="227"/>
      <c r="L27" s="227"/>
      <c r="M27" s="228"/>
      <c r="N27" s="225"/>
      <c r="O27" s="224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</row>
    <row r="28" spans="1:26" ht="11.25" customHeight="1">
      <c r="A28" s="105"/>
      <c r="B28" s="105"/>
      <c r="C28" s="126"/>
      <c r="D28" s="126"/>
      <c r="E28" s="126"/>
      <c r="F28" s="126"/>
      <c r="G28" s="126"/>
      <c r="H28" s="126"/>
      <c r="I28" s="126"/>
      <c r="J28" s="223"/>
      <c r="K28" s="220"/>
      <c r="L28" s="220"/>
      <c r="M28" s="221"/>
      <c r="N28" s="222"/>
      <c r="O28" s="217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</row>
    <row r="29" spans="1:21" ht="11.25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</row>
    <row r="30" spans="1:21" ht="11.25" customHeight="1">
      <c r="A30" s="105"/>
      <c r="B30" s="102" t="s">
        <v>274</v>
      </c>
      <c r="C30" s="32" t="s">
        <v>275</v>
      </c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</row>
    <row r="31" spans="1:21" ht="11.25" customHeight="1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</row>
    <row r="32" spans="1:29" ht="11.25" customHeight="1">
      <c r="A32" s="96"/>
      <c r="B32" s="96"/>
      <c r="C32" s="32" t="s">
        <v>276</v>
      </c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7"/>
      <c r="W32" s="97"/>
      <c r="X32" s="97"/>
      <c r="Y32" s="97"/>
      <c r="Z32" s="97"/>
      <c r="AA32" s="97"/>
      <c r="AB32" s="97"/>
      <c r="AC32" s="98"/>
    </row>
    <row r="33" spans="1:29" ht="11.25" customHeight="1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7"/>
      <c r="W33" s="97"/>
      <c r="X33" s="97"/>
      <c r="Y33" s="97"/>
      <c r="Z33" s="97"/>
      <c r="AA33" s="97"/>
      <c r="AB33" s="97"/>
      <c r="AC33" s="98"/>
    </row>
    <row r="34" spans="1:29" ht="11.25" customHeight="1">
      <c r="A34" s="96"/>
      <c r="B34" s="96"/>
      <c r="C34" s="96"/>
      <c r="D34" s="32" t="s">
        <v>681</v>
      </c>
      <c r="E34" s="96"/>
      <c r="F34" s="96"/>
      <c r="G34" s="96"/>
      <c r="H34" s="96"/>
      <c r="I34" s="32" t="s">
        <v>682</v>
      </c>
      <c r="J34" s="96"/>
      <c r="K34" s="96"/>
      <c r="L34" s="96"/>
      <c r="M34" s="96"/>
      <c r="N34" s="32"/>
      <c r="O34" s="96"/>
      <c r="P34" s="96"/>
      <c r="Q34" s="96"/>
      <c r="R34" s="96"/>
      <c r="S34" s="96"/>
      <c r="T34" s="96"/>
      <c r="U34" s="96"/>
      <c r="V34" s="97"/>
      <c r="W34" s="97"/>
      <c r="X34" s="97"/>
      <c r="Y34" s="97"/>
      <c r="Z34" s="97"/>
      <c r="AA34" s="97"/>
      <c r="AB34" s="97"/>
      <c r="AC34" s="98"/>
    </row>
    <row r="35" spans="1:29" ht="11.25" customHeight="1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32"/>
      <c r="O35" s="96"/>
      <c r="P35" s="96"/>
      <c r="Q35" s="96"/>
      <c r="R35" s="96"/>
      <c r="S35" s="96"/>
      <c r="T35" s="96"/>
      <c r="U35" s="96"/>
      <c r="V35" s="97"/>
      <c r="W35" s="97"/>
      <c r="X35" s="97"/>
      <c r="Y35" s="97"/>
      <c r="Z35" s="97"/>
      <c r="AA35" s="97"/>
      <c r="AB35" s="97"/>
      <c r="AC35" s="98"/>
    </row>
    <row r="36" spans="1:29" ht="11.25" customHeight="1">
      <c r="A36" s="96"/>
      <c r="B36" s="96"/>
      <c r="C36" s="96"/>
      <c r="D36" s="96" t="s">
        <v>683</v>
      </c>
      <c r="E36" s="96"/>
      <c r="F36" s="96"/>
      <c r="G36" s="96"/>
      <c r="H36" s="96"/>
      <c r="I36" s="96" t="s">
        <v>684</v>
      </c>
      <c r="J36" s="96"/>
      <c r="K36" s="96"/>
      <c r="L36" s="96"/>
      <c r="M36" s="96"/>
      <c r="N36" s="32"/>
      <c r="O36" s="96"/>
      <c r="P36" s="96"/>
      <c r="Q36" s="96"/>
      <c r="R36" s="96"/>
      <c r="S36" s="96"/>
      <c r="T36" s="96"/>
      <c r="U36" s="96"/>
      <c r="V36" s="97"/>
      <c r="W36" s="97"/>
      <c r="X36" s="97"/>
      <c r="Y36" s="97"/>
      <c r="Z36" s="97"/>
      <c r="AA36" s="97"/>
      <c r="AB36" s="97"/>
      <c r="AC36" s="98"/>
    </row>
    <row r="37" spans="1:29" ht="11.25" customHeight="1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32"/>
      <c r="O37" s="96"/>
      <c r="P37" s="96"/>
      <c r="Q37" s="96"/>
      <c r="R37" s="96"/>
      <c r="S37" s="96"/>
      <c r="T37" s="96"/>
      <c r="U37" s="96"/>
      <c r="V37" s="97"/>
      <c r="W37" s="97"/>
      <c r="X37" s="97"/>
      <c r="Y37" s="97"/>
      <c r="Z37" s="97"/>
      <c r="AA37" s="97"/>
      <c r="AB37" s="97"/>
      <c r="AC37" s="98"/>
    </row>
    <row r="38" spans="1:29" ht="11.25" customHeight="1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32"/>
      <c r="O38" s="96"/>
      <c r="P38" s="96"/>
      <c r="Q38" s="96"/>
      <c r="R38" s="96"/>
      <c r="S38" s="96"/>
      <c r="T38" s="96"/>
      <c r="U38" s="96"/>
      <c r="V38" s="97"/>
      <c r="W38" s="97"/>
      <c r="X38" s="97"/>
      <c r="Y38" s="97"/>
      <c r="Z38" s="97"/>
      <c r="AA38" s="97"/>
      <c r="AB38" s="97"/>
      <c r="AC38" s="98"/>
    </row>
    <row r="39" spans="1:29" ht="11.25" customHeight="1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32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111"/>
    </row>
    <row r="40" spans="1:29" ht="11.25" customHeight="1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32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111"/>
    </row>
    <row r="41" spans="1:29" ht="11.25" customHeight="1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32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111"/>
    </row>
    <row r="42" spans="1:29" ht="11.25" customHeight="1">
      <c r="A42" s="96"/>
      <c r="B42" s="96"/>
      <c r="C42" s="32" t="s">
        <v>277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7"/>
      <c r="W42" s="97"/>
      <c r="X42" s="97"/>
      <c r="Y42" s="97"/>
      <c r="Z42" s="97"/>
      <c r="AA42" s="97"/>
      <c r="AB42" s="97"/>
      <c r="AC42" s="98"/>
    </row>
    <row r="43" spans="1:29" ht="11.25" customHeight="1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97"/>
      <c r="W43" s="97"/>
      <c r="X43" s="97"/>
      <c r="Y43" s="97"/>
      <c r="Z43" s="97"/>
      <c r="AA43" s="97"/>
      <c r="AB43" s="97"/>
      <c r="AC43" s="98"/>
    </row>
    <row r="44" spans="1:29" ht="11.25" customHeight="1">
      <c r="A44" s="96"/>
      <c r="B44" s="96"/>
      <c r="C44" s="96"/>
      <c r="D44" s="32" t="s">
        <v>278</v>
      </c>
      <c r="E44" s="96"/>
      <c r="F44" s="96"/>
      <c r="G44" s="96"/>
      <c r="H44" s="96"/>
      <c r="I44" s="96"/>
      <c r="J44" s="96"/>
      <c r="K44" s="96" t="s">
        <v>279</v>
      </c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111"/>
    </row>
    <row r="45" spans="1:29" ht="11.25" customHeight="1">
      <c r="A45" s="96"/>
      <c r="B45" s="96"/>
      <c r="C45" s="96"/>
      <c r="D45" s="112" t="s">
        <v>280</v>
      </c>
      <c r="E45" s="96"/>
      <c r="F45" s="96"/>
      <c r="G45" s="96"/>
      <c r="H45" s="96"/>
      <c r="I45" s="96"/>
      <c r="J45" s="96"/>
      <c r="K45" s="96" t="s">
        <v>281</v>
      </c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111"/>
    </row>
    <row r="46" spans="1:29" ht="11.25" customHeight="1">
      <c r="A46" s="96"/>
      <c r="B46" s="96"/>
      <c r="C46" s="96"/>
      <c r="D46" s="32" t="s">
        <v>282</v>
      </c>
      <c r="E46" s="96"/>
      <c r="F46" s="96"/>
      <c r="G46" s="96"/>
      <c r="H46" s="96"/>
      <c r="I46" s="96"/>
      <c r="J46" s="96"/>
      <c r="K46" s="96" t="s">
        <v>283</v>
      </c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111"/>
    </row>
    <row r="47" spans="1:29" ht="11.25" customHeight="1">
      <c r="A47" s="96"/>
      <c r="B47" s="96"/>
      <c r="C47" s="96"/>
      <c r="D47" s="32" t="s">
        <v>284</v>
      </c>
      <c r="E47" s="96"/>
      <c r="F47" s="96"/>
      <c r="G47" s="96"/>
      <c r="H47" s="96"/>
      <c r="I47" s="96"/>
      <c r="J47" s="96"/>
      <c r="K47" s="96" t="s">
        <v>285</v>
      </c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111"/>
    </row>
    <row r="48" spans="1:29" ht="11.25" customHeight="1">
      <c r="A48" s="96"/>
      <c r="B48" s="96"/>
      <c r="C48" s="96"/>
      <c r="D48" s="32" t="s">
        <v>286</v>
      </c>
      <c r="E48" s="96"/>
      <c r="F48" s="96"/>
      <c r="G48" s="96"/>
      <c r="H48" s="96"/>
      <c r="I48" s="96"/>
      <c r="J48" s="96"/>
      <c r="K48" s="96" t="s">
        <v>287</v>
      </c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111"/>
    </row>
    <row r="49" spans="1:29" ht="11.25" customHeight="1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111"/>
    </row>
    <row r="50" spans="1:29" ht="11.25" customHeight="1">
      <c r="A50" s="96"/>
      <c r="B50" s="102" t="s">
        <v>288</v>
      </c>
      <c r="C50" s="32" t="s">
        <v>289</v>
      </c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111"/>
    </row>
    <row r="51" spans="1:29" ht="11.25" customHeight="1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111"/>
    </row>
    <row r="52" spans="1:29" ht="11.25" customHeight="1">
      <c r="A52" s="96"/>
      <c r="B52" s="96"/>
      <c r="C52" s="96" t="s">
        <v>290</v>
      </c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111"/>
    </row>
    <row r="53" spans="1:29" ht="11.25" customHeight="1">
      <c r="A53" s="96"/>
      <c r="B53" s="96"/>
      <c r="C53" s="96" t="s">
        <v>291</v>
      </c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111"/>
    </row>
    <row r="54" spans="1:29" ht="11.25" customHeight="1">
      <c r="A54" s="96"/>
      <c r="B54" s="96"/>
      <c r="C54" s="113" t="s">
        <v>292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111"/>
    </row>
    <row r="55" spans="1:29" ht="11.25" customHeight="1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111"/>
    </row>
    <row r="56" spans="1:29" ht="11.25" customHeight="1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111"/>
    </row>
    <row r="57" spans="1:29" ht="11.25" customHeight="1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111"/>
    </row>
    <row r="58" spans="1:29" ht="11.25" customHeight="1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111"/>
    </row>
    <row r="59" spans="1:29" ht="11.25" customHeight="1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111"/>
    </row>
    <row r="60" spans="1:29" ht="11.25" customHeight="1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111"/>
    </row>
    <row r="61" spans="1:29" ht="11.25" customHeight="1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111"/>
    </row>
    <row r="62" spans="1:30" ht="11.25" customHeight="1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1"/>
      <c r="AD62" s="115"/>
    </row>
    <row r="63" spans="1:30" ht="11.25" customHeight="1">
      <c r="A63" s="105" t="str">
        <f>cosymbol</f>
        <v> NTES</v>
      </c>
      <c r="AB63" s="116" t="str">
        <f>coname</f>
        <v>Narai Thermal Engineering Services </v>
      </c>
      <c r="AC63" s="115"/>
      <c r="AD63" s="115"/>
    </row>
    <row r="64" ht="11.25" customHeight="1"/>
    <row r="111" ht="13.5" customHeight="1"/>
    <row r="112" ht="13.5" customHeight="1"/>
  </sheetData>
  <mergeCells count="22">
    <mergeCell ref="J23:L23"/>
    <mergeCell ref="M23:O23"/>
    <mergeCell ref="A1:G2"/>
    <mergeCell ref="C21:I21"/>
    <mergeCell ref="J22:L22"/>
    <mergeCell ref="M22:O22"/>
    <mergeCell ref="X5:AB5"/>
    <mergeCell ref="X6:AB6"/>
    <mergeCell ref="A3:AB4"/>
    <mergeCell ref="J21:L21"/>
    <mergeCell ref="M21:O21"/>
    <mergeCell ref="P21:Z21"/>
    <mergeCell ref="J28:L28"/>
    <mergeCell ref="M28:O28"/>
    <mergeCell ref="J27:L27"/>
    <mergeCell ref="M27:O27"/>
    <mergeCell ref="J25:L25"/>
    <mergeCell ref="M25:O25"/>
    <mergeCell ref="J24:L24"/>
    <mergeCell ref="M24:O24"/>
    <mergeCell ref="J26:L26"/>
    <mergeCell ref="M26:O26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/>
  <dimension ref="A1:AF63"/>
  <sheetViews>
    <sheetView view="pageBreakPreview" zoomScaleSheetLayoutView="100" workbookViewId="0" topLeftCell="A1">
      <selection activeCell="S6" sqref="S6"/>
    </sheetView>
  </sheetViews>
  <sheetFormatPr defaultColWidth="8.88671875" defaultRowHeight="13.5"/>
  <cols>
    <col min="1" max="28" width="2.77734375" style="95" customWidth="1"/>
    <col min="29" max="38" width="2.77734375" style="119" customWidth="1"/>
    <col min="39" max="16384" width="8.88671875" style="95" customWidth="1"/>
  </cols>
  <sheetData>
    <row r="1" spans="1:32" ht="11.25" customHeight="1">
      <c r="A1" s="206" t="s">
        <v>293</v>
      </c>
      <c r="B1" s="206"/>
      <c r="C1" s="206"/>
      <c r="D1" s="206"/>
      <c r="E1" s="206"/>
      <c r="F1" s="206"/>
      <c r="G1" s="206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117"/>
      <c r="AD1" s="118"/>
      <c r="AE1" s="118"/>
      <c r="AF1" s="118"/>
    </row>
    <row r="2" spans="1:29" ht="11.25" customHeight="1">
      <c r="A2" s="207"/>
      <c r="B2" s="207"/>
      <c r="C2" s="207"/>
      <c r="D2" s="207"/>
      <c r="E2" s="207"/>
      <c r="F2" s="207"/>
      <c r="G2" s="207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  <c r="W2" s="97"/>
      <c r="X2" s="97"/>
      <c r="Y2" s="97"/>
      <c r="Z2" s="97"/>
      <c r="AA2" s="97"/>
      <c r="AB2" s="97"/>
      <c r="AC2" s="120"/>
    </row>
    <row r="3" spans="1:32" ht="11.25" customHeight="1">
      <c r="A3" s="216" t="str">
        <f>G!A3</f>
        <v>S T R E N G T H     C A L C U L A T I O N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121"/>
      <c r="AD3" s="118"/>
      <c r="AE3" s="118"/>
      <c r="AF3" s="118"/>
    </row>
    <row r="4" spans="1:32" ht="11.25" customHeight="1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121"/>
      <c r="AD4" s="118"/>
      <c r="AE4" s="118"/>
      <c r="AF4" s="118"/>
    </row>
    <row r="5" spans="1:32" ht="11.2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7"/>
      <c r="R5" s="97"/>
      <c r="S5" s="97"/>
      <c r="T5" s="97"/>
      <c r="U5" s="96" t="s">
        <v>294</v>
      </c>
      <c r="V5" s="97"/>
      <c r="W5" s="97"/>
      <c r="X5" s="218" t="s">
        <v>309</v>
      </c>
      <c r="Y5" s="218"/>
      <c r="Z5" s="218"/>
      <c r="AA5" s="218"/>
      <c r="AB5" s="218"/>
      <c r="AC5" s="117"/>
      <c r="AD5" s="118"/>
      <c r="AE5" s="118"/>
      <c r="AF5" s="118"/>
    </row>
    <row r="6" spans="1:32" ht="11.25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 t="s">
        <v>295</v>
      </c>
      <c r="V6" s="97"/>
      <c r="W6" s="97"/>
      <c r="X6" s="219" t="s">
        <v>417</v>
      </c>
      <c r="Y6" s="219"/>
      <c r="Z6" s="219"/>
      <c r="AA6" s="219"/>
      <c r="AB6" s="219"/>
      <c r="AC6" s="117"/>
      <c r="AD6" s="118"/>
      <c r="AE6" s="118"/>
      <c r="AF6" s="118"/>
    </row>
    <row r="7" spans="1:32" ht="11.2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 t="s">
        <v>296</v>
      </c>
      <c r="V7" s="97"/>
      <c r="W7" s="97"/>
      <c r="X7" s="100">
        <v>0</v>
      </c>
      <c r="Y7" s="101"/>
      <c r="Z7" s="101"/>
      <c r="AA7" s="101"/>
      <c r="AB7" s="101"/>
      <c r="AC7" s="117"/>
      <c r="AD7" s="118"/>
      <c r="AE7" s="118"/>
      <c r="AF7" s="118"/>
    </row>
    <row r="8" spans="1:29" ht="11.25" customHeight="1">
      <c r="A8" s="96"/>
      <c r="B8" s="102" t="s">
        <v>297</v>
      </c>
      <c r="C8" s="32" t="s">
        <v>298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 t="s">
        <v>299</v>
      </c>
      <c r="V8" s="97"/>
      <c r="W8" s="97"/>
      <c r="X8" s="97"/>
      <c r="Y8" s="103">
        <v>1</v>
      </c>
      <c r="Z8" s="100" t="s">
        <v>300</v>
      </c>
      <c r="AA8" s="104">
        <v>1</v>
      </c>
      <c r="AB8" s="100"/>
      <c r="AC8" s="120"/>
    </row>
    <row r="9" spans="1:29" ht="11.25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7"/>
      <c r="W9" s="97"/>
      <c r="X9" s="97"/>
      <c r="Y9" s="97"/>
      <c r="Z9" s="97"/>
      <c r="AA9" s="97"/>
      <c r="AB9" s="97"/>
      <c r="AC9" s="120"/>
    </row>
    <row r="10" spans="1:29" ht="11.25" customHeight="1">
      <c r="A10" s="105"/>
      <c r="B10" s="105"/>
      <c r="C10" s="105" t="s">
        <v>301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97"/>
      <c r="W10" s="97"/>
      <c r="X10" s="97"/>
      <c r="Y10" s="97"/>
      <c r="Z10" s="97"/>
      <c r="AA10" s="97"/>
      <c r="AB10" s="97"/>
      <c r="AC10" s="120"/>
    </row>
    <row r="11" spans="1:29" ht="11.25" customHeight="1">
      <c r="A11" s="105"/>
      <c r="B11" s="105"/>
      <c r="C11" s="105" t="s">
        <v>302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97"/>
      <c r="W11" s="97"/>
      <c r="X11" s="97"/>
      <c r="Y11" s="97"/>
      <c r="Z11" s="97"/>
      <c r="AA11" s="97"/>
      <c r="AB11" s="97"/>
      <c r="AC11" s="120"/>
    </row>
    <row r="12" spans="1:29" ht="11.25" customHeight="1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97"/>
      <c r="W12" s="97"/>
      <c r="X12" s="97"/>
      <c r="Y12" s="97"/>
      <c r="Z12" s="97"/>
      <c r="AA12" s="97"/>
      <c r="AB12" s="97"/>
      <c r="AC12" s="120"/>
    </row>
    <row r="13" spans="1:29" ht="11.25" customHeight="1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97"/>
      <c r="W13" s="97"/>
      <c r="X13" s="97"/>
      <c r="Y13" s="97"/>
      <c r="Z13" s="97"/>
      <c r="AA13" s="97"/>
      <c r="AB13" s="97"/>
      <c r="AC13" s="120"/>
    </row>
    <row r="14" spans="1:29" ht="11.25" customHeight="1">
      <c r="A14" s="105"/>
      <c r="B14" s="102" t="s">
        <v>303</v>
      </c>
      <c r="C14" s="32" t="s">
        <v>304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97"/>
      <c r="W14" s="97"/>
      <c r="X14" s="97"/>
      <c r="Y14" s="97"/>
      <c r="Z14" s="97"/>
      <c r="AA14" s="97"/>
      <c r="AB14" s="97"/>
      <c r="AC14" s="120"/>
    </row>
    <row r="15" spans="1:29" ht="11.25" customHeight="1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122"/>
    </row>
    <row r="16" spans="1:29" ht="11.25" customHeight="1">
      <c r="A16" s="96"/>
      <c r="B16" s="96"/>
      <c r="C16" s="32" t="s">
        <v>305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122"/>
    </row>
    <row r="17" spans="1:29" ht="11.25" customHeight="1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122"/>
    </row>
    <row r="18" spans="1:29" ht="11.25" customHeight="1">
      <c r="A18" s="96"/>
      <c r="B18" s="96"/>
      <c r="C18" s="96"/>
      <c r="D18" s="96" t="s">
        <v>306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122"/>
    </row>
    <row r="19" spans="1:29" ht="11.25" customHeight="1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122"/>
    </row>
    <row r="20" spans="1:29" ht="11.25" customHeight="1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122"/>
    </row>
    <row r="21" spans="1:29" ht="11.25" customHeight="1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97"/>
      <c r="W21" s="97"/>
      <c r="X21" s="97"/>
      <c r="Y21" s="97"/>
      <c r="Z21" s="97"/>
      <c r="AA21" s="97"/>
      <c r="AB21" s="97"/>
      <c r="AC21" s="120"/>
    </row>
    <row r="22" spans="1:29" ht="11.25" customHeight="1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122"/>
    </row>
    <row r="23" spans="1:29" ht="11.25" customHeight="1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122"/>
    </row>
    <row r="24" spans="1:29" ht="11.25" customHeight="1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122"/>
    </row>
    <row r="25" spans="1:29" ht="11.25" customHeight="1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122"/>
    </row>
    <row r="26" spans="1:29" ht="11.25" customHeight="1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122"/>
    </row>
    <row r="27" spans="1:29" ht="11.25" customHeight="1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122"/>
    </row>
    <row r="28" spans="1:29" ht="11.25" customHeight="1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122"/>
    </row>
    <row r="29" spans="1:29" ht="11.25" customHeight="1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122"/>
    </row>
    <row r="30" spans="1:29" ht="11.25" customHeight="1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122"/>
    </row>
    <row r="31" spans="1:29" ht="11.25" customHeight="1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122"/>
    </row>
    <row r="32" spans="1:29" ht="11.25" customHeight="1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122"/>
    </row>
    <row r="33" spans="1:29" ht="11.25" customHeight="1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97"/>
      <c r="W33" s="97"/>
      <c r="X33" s="97"/>
      <c r="Y33" s="97"/>
      <c r="Z33" s="97"/>
      <c r="AA33" s="97"/>
      <c r="AB33" s="97"/>
      <c r="AC33" s="120"/>
    </row>
    <row r="34" spans="1:29" ht="11.25" customHeight="1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122"/>
    </row>
    <row r="35" spans="1:29" ht="11.25" customHeight="1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122"/>
    </row>
    <row r="36" spans="1:29" ht="11.25" customHeight="1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122"/>
    </row>
    <row r="37" spans="1:29" ht="11.25" customHeight="1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122"/>
    </row>
    <row r="38" spans="1:29" ht="11.25" customHeight="1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122"/>
    </row>
    <row r="39" spans="1:29" ht="11.25" customHeight="1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122"/>
    </row>
    <row r="40" spans="1:29" ht="11.25" customHeight="1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122"/>
    </row>
    <row r="41" spans="1:29" ht="11.25" customHeight="1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122"/>
    </row>
    <row r="42" spans="1:29" ht="11.25" customHeight="1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122"/>
    </row>
    <row r="43" spans="1:29" ht="11.25" customHeight="1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122"/>
    </row>
    <row r="44" spans="1:29" ht="11.25" customHeight="1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122"/>
    </row>
    <row r="45" spans="1:29" ht="11.25" customHeight="1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97"/>
      <c r="W45" s="97"/>
      <c r="X45" s="97"/>
      <c r="Y45" s="97"/>
      <c r="Z45" s="97"/>
      <c r="AA45" s="97"/>
      <c r="AB45" s="97"/>
      <c r="AC45" s="120"/>
    </row>
    <row r="46" spans="1:29" ht="11.25" customHeight="1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122"/>
    </row>
    <row r="47" spans="1:29" ht="11.25" customHeight="1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122"/>
    </row>
    <row r="48" spans="1:29" ht="11.25" customHeight="1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122"/>
    </row>
    <row r="49" spans="1:29" ht="11.25" customHeight="1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122"/>
    </row>
    <row r="50" spans="1:29" ht="11.25" customHeight="1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122"/>
    </row>
    <row r="51" spans="1:29" ht="11.25" customHeight="1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122"/>
    </row>
    <row r="52" spans="1:29" ht="11.25" customHeight="1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122"/>
    </row>
    <row r="53" spans="1:29" ht="11.25" customHeight="1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122"/>
    </row>
    <row r="54" spans="1:29" ht="11.25" customHeight="1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122"/>
    </row>
    <row r="55" spans="1:29" ht="11.25" customHeight="1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122"/>
    </row>
    <row r="56" spans="1:29" ht="11.25" customHeight="1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122"/>
    </row>
    <row r="57" spans="1:29" ht="11.25" customHeight="1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122"/>
    </row>
    <row r="58" spans="1:29" ht="11.25" customHeight="1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122"/>
    </row>
    <row r="59" spans="1:29" ht="11.25" customHeight="1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122"/>
    </row>
    <row r="60" spans="1:29" ht="11.25" customHeight="1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122"/>
    </row>
    <row r="61" spans="1:29" ht="11.25" customHeight="1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122"/>
    </row>
    <row r="62" spans="1:30" ht="11.25" customHeight="1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22"/>
      <c r="AD62" s="123"/>
    </row>
    <row r="63" spans="1:30" ht="11.25" customHeight="1">
      <c r="A63" s="105" t="str">
        <f>cosymbol</f>
        <v> NTES</v>
      </c>
      <c r="AB63" s="116" t="str">
        <f>coname</f>
        <v>Narai Thermal Engineering Services </v>
      </c>
      <c r="AC63" s="123"/>
      <c r="AD63" s="123"/>
    </row>
    <row r="64" ht="11.25" customHeight="1"/>
    <row r="111" ht="13.5" customHeight="1"/>
    <row r="112" ht="13.5" customHeight="1"/>
  </sheetData>
  <mergeCells count="4">
    <mergeCell ref="A1:G2"/>
    <mergeCell ref="X5:AB5"/>
    <mergeCell ref="X6:AB6"/>
    <mergeCell ref="A3:AB4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AT69"/>
  <sheetViews>
    <sheetView tabSelected="1" zoomScaleSheetLayoutView="100" workbookViewId="0" topLeftCell="A1">
      <selection activeCell="Q9" sqref="Q9"/>
    </sheetView>
  </sheetViews>
  <sheetFormatPr defaultColWidth="8.88671875" defaultRowHeight="13.5"/>
  <cols>
    <col min="1" max="22" width="3.77734375" style="2" customWidth="1"/>
    <col min="23" max="52" width="2.3359375" style="2" customWidth="1"/>
    <col min="53" max="16384" width="8.88671875" style="2" customWidth="1"/>
  </cols>
  <sheetData>
    <row r="1" spans="2:21" ht="11.25" customHeight="1">
      <c r="B1" s="245" t="s">
        <v>590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7"/>
    </row>
    <row r="2" spans="2:21" ht="11.25" customHeight="1">
      <c r="B2" s="248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50"/>
    </row>
    <row r="3" spans="1:21" ht="11.25" customHeight="1">
      <c r="A3" s="8">
        <v>1</v>
      </c>
      <c r="B3" s="154" t="s">
        <v>498</v>
      </c>
      <c r="C3" s="53"/>
      <c r="D3" s="53"/>
      <c r="E3" s="196" t="s">
        <v>675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199" t="s">
        <v>656</v>
      </c>
      <c r="Q3" s="42"/>
      <c r="R3" s="251" t="s">
        <v>657</v>
      </c>
      <c r="S3" s="251"/>
      <c r="T3" s="251"/>
      <c r="U3" s="252"/>
    </row>
    <row r="4" spans="1:21" ht="11.25" customHeight="1">
      <c r="A4" s="8">
        <v>2</v>
      </c>
      <c r="B4" s="155" t="s">
        <v>499</v>
      </c>
      <c r="C4" s="36"/>
      <c r="D4" s="36"/>
      <c r="E4" s="197" t="s">
        <v>652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 t="s">
        <v>10</v>
      </c>
      <c r="Q4" s="36"/>
      <c r="R4" s="244" t="s">
        <v>591</v>
      </c>
      <c r="S4" s="244"/>
      <c r="T4" s="244"/>
      <c r="U4" s="253"/>
    </row>
    <row r="5" spans="1:21" ht="11.25" customHeight="1">
      <c r="A5" s="8">
        <v>3</v>
      </c>
      <c r="B5" s="155" t="s">
        <v>500</v>
      </c>
      <c r="C5" s="36"/>
      <c r="D5" s="36"/>
      <c r="E5" s="197" t="s">
        <v>652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 t="s">
        <v>19</v>
      </c>
      <c r="Q5" s="36"/>
      <c r="R5" s="244" t="s">
        <v>501</v>
      </c>
      <c r="S5" s="244"/>
      <c r="T5" s="244"/>
      <c r="U5" s="253"/>
    </row>
    <row r="6" spans="1:34" ht="11.25" customHeight="1">
      <c r="A6" s="8">
        <v>4</v>
      </c>
      <c r="B6" s="58"/>
      <c r="C6" s="40"/>
      <c r="D6" s="40"/>
      <c r="E6" s="156"/>
      <c r="F6" s="40"/>
      <c r="G6" s="40"/>
      <c r="H6" s="40"/>
      <c r="I6" s="40"/>
      <c r="J6" s="40"/>
      <c r="K6" s="40"/>
      <c r="L6" s="40"/>
      <c r="M6" s="40"/>
      <c r="N6" s="40"/>
      <c r="O6" s="40"/>
      <c r="P6" s="77" t="s">
        <v>15</v>
      </c>
      <c r="Q6" s="77"/>
      <c r="R6" s="204">
        <v>0</v>
      </c>
      <c r="S6" s="204"/>
      <c r="T6" s="204"/>
      <c r="U6" s="258"/>
      <c r="W6" s="157"/>
      <c r="Y6" s="158" t="s">
        <v>502</v>
      </c>
      <c r="AH6" s="2" t="s">
        <v>503</v>
      </c>
    </row>
    <row r="7" spans="1:26" ht="11.25" customHeight="1">
      <c r="A7" s="8">
        <v>5</v>
      </c>
      <c r="B7" s="159" t="s">
        <v>504</v>
      </c>
      <c r="C7" s="42"/>
      <c r="D7" s="42"/>
      <c r="E7" s="198" t="s">
        <v>654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 t="s">
        <v>11</v>
      </c>
      <c r="Q7" s="42"/>
      <c r="R7" s="255" t="s">
        <v>655</v>
      </c>
      <c r="S7" s="255"/>
      <c r="T7" s="255"/>
      <c r="U7" s="259"/>
      <c r="Y7" s="2" t="s">
        <v>505</v>
      </c>
      <c r="Z7" s="127" t="s">
        <v>506</v>
      </c>
    </row>
    <row r="8" spans="1:38" ht="11.25" customHeight="1">
      <c r="A8" s="8">
        <v>6</v>
      </c>
      <c r="B8" s="155"/>
      <c r="C8" s="36"/>
      <c r="D8" s="54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40"/>
      <c r="Q8" s="40"/>
      <c r="R8" s="40"/>
      <c r="S8" s="40"/>
      <c r="T8" s="40"/>
      <c r="U8" s="59"/>
      <c r="Y8" s="35" t="s">
        <v>507</v>
      </c>
      <c r="Z8" s="2" t="s">
        <v>46</v>
      </c>
      <c r="AA8" s="233" t="str">
        <f>K29</f>
        <v>G</v>
      </c>
      <c r="AB8" s="233"/>
      <c r="AC8" s="8" t="s">
        <v>508</v>
      </c>
      <c r="AD8" s="8" t="s">
        <v>509</v>
      </c>
      <c r="AE8" s="8" t="s">
        <v>510</v>
      </c>
      <c r="AF8" s="8" t="s">
        <v>511</v>
      </c>
      <c r="AG8" s="233" t="str">
        <f>H16</f>
        <v>Sc</v>
      </c>
      <c r="AH8" s="233"/>
      <c r="AI8" s="8" t="s">
        <v>232</v>
      </c>
      <c r="AJ8" s="8" t="s">
        <v>79</v>
      </c>
      <c r="AK8" s="8" t="s">
        <v>55</v>
      </c>
      <c r="AL8" s="8" t="str">
        <f>Q13</f>
        <v>CA</v>
      </c>
    </row>
    <row r="9" spans="1:38" ht="11.25" customHeight="1">
      <c r="A9" s="8">
        <v>7</v>
      </c>
      <c r="B9" s="58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 t="s">
        <v>12</v>
      </c>
      <c r="Q9" s="40"/>
      <c r="R9" s="160">
        <v>1</v>
      </c>
      <c r="S9" s="236" t="s">
        <v>13</v>
      </c>
      <c r="T9" s="236"/>
      <c r="U9" s="161">
        <v>1</v>
      </c>
      <c r="Z9" s="2" t="s">
        <v>46</v>
      </c>
      <c r="AA9" s="233" t="str">
        <f>IF(F16&lt;&gt;Z7,"***",K30)</f>
        <v>***</v>
      </c>
      <c r="AB9" s="233"/>
      <c r="AC9" s="144" t="str">
        <f>IF(F16&lt;&gt;Z7,"***",R51)</f>
        <v>***</v>
      </c>
      <c r="AD9" s="162">
        <v>0.33</v>
      </c>
      <c r="AE9" s="8">
        <f>G12</f>
        <v>10</v>
      </c>
      <c r="AF9" s="8" t="str">
        <f>AF8</f>
        <v>/  (</v>
      </c>
      <c r="AG9" s="234">
        <f>H17</f>
        <v>1040.1105372374868</v>
      </c>
      <c r="AH9" s="234"/>
      <c r="AI9" s="144">
        <f>(R12-(R11+1))/R12</f>
        <v>0.5707317073170732</v>
      </c>
      <c r="AJ9" s="8" t="str">
        <f>AJ8</f>
        <v>)</v>
      </c>
      <c r="AK9" s="8" t="s">
        <v>55</v>
      </c>
      <c r="AL9" s="8">
        <f>R13</f>
        <v>3</v>
      </c>
    </row>
    <row r="10" spans="1:28" ht="11.25" customHeight="1">
      <c r="A10" s="8">
        <v>8</v>
      </c>
      <c r="B10" s="230" t="s">
        <v>512</v>
      </c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2"/>
      <c r="Z10" s="2" t="s">
        <v>46</v>
      </c>
      <c r="AA10" s="243" t="str">
        <f>IF(F16&lt;&gt;Z7,"***",AA9*(AC9*AD9*AE9/(AG9*AI9))^0.5+AL9)</f>
        <v>***</v>
      </c>
      <c r="AB10" s="243"/>
    </row>
    <row r="11" spans="1:25" ht="11.25" customHeight="1">
      <c r="A11" s="8">
        <v>9</v>
      </c>
      <c r="B11" s="155" t="s">
        <v>592</v>
      </c>
      <c r="C11" s="36"/>
      <c r="D11" s="36"/>
      <c r="E11" s="36" t="str">
        <f>W11</f>
        <v>KS</v>
      </c>
      <c r="F11" s="36"/>
      <c r="G11" s="36"/>
      <c r="H11" s="36"/>
      <c r="I11" s="36"/>
      <c r="J11" s="36"/>
      <c r="K11" s="36"/>
      <c r="L11" s="159" t="s">
        <v>667</v>
      </c>
      <c r="M11" s="42"/>
      <c r="N11" s="42"/>
      <c r="O11" s="42"/>
      <c r="P11" s="42"/>
      <c r="Q11" s="42"/>
      <c r="R11" s="255">
        <v>25.4</v>
      </c>
      <c r="S11" s="255"/>
      <c r="T11" s="42" t="s">
        <v>93</v>
      </c>
      <c r="U11" s="57"/>
      <c r="W11" s="1" t="s">
        <v>677</v>
      </c>
      <c r="Y11" s="2" t="s">
        <v>517</v>
      </c>
    </row>
    <row r="12" spans="1:32" ht="11.25" customHeight="1">
      <c r="A12" s="8">
        <v>10</v>
      </c>
      <c r="B12" s="155" t="s">
        <v>593</v>
      </c>
      <c r="C12" s="36"/>
      <c r="D12" s="36"/>
      <c r="E12" s="36"/>
      <c r="F12" s="163" t="s">
        <v>510</v>
      </c>
      <c r="G12" s="244">
        <v>10</v>
      </c>
      <c r="H12" s="244"/>
      <c r="I12" s="244"/>
      <c r="J12" s="36" t="s">
        <v>676</v>
      </c>
      <c r="K12" s="36"/>
      <c r="L12" s="155" t="s">
        <v>666</v>
      </c>
      <c r="M12" s="36"/>
      <c r="N12" s="36"/>
      <c r="O12" s="36"/>
      <c r="P12" s="36" t="s">
        <v>664</v>
      </c>
      <c r="Q12" s="36"/>
      <c r="R12" s="254">
        <f>MIN(AA12,IF(P12&lt;&gt;"Staggered",AC12,AE12))</f>
        <v>61.5</v>
      </c>
      <c r="S12" s="254"/>
      <c r="T12" s="36" t="str">
        <f>T11</f>
        <v>mm</v>
      </c>
      <c r="U12" s="63"/>
      <c r="W12" s="2" t="s">
        <v>665</v>
      </c>
      <c r="AA12" s="235">
        <v>61.5</v>
      </c>
      <c r="AB12" s="235"/>
      <c r="AC12" s="235">
        <v>55</v>
      </c>
      <c r="AD12" s="235"/>
      <c r="AE12" s="238">
        <f>((AA12/2)^2+AC12^2)^0.5</f>
        <v>63.01239957341729</v>
      </c>
      <c r="AF12" s="238"/>
    </row>
    <row r="13" spans="1:27" ht="11.25" customHeight="1">
      <c r="A13" s="8">
        <v>11</v>
      </c>
      <c r="B13" s="155" t="s">
        <v>594</v>
      </c>
      <c r="C13" s="36"/>
      <c r="D13" s="36"/>
      <c r="E13" s="36"/>
      <c r="F13" s="36"/>
      <c r="G13" s="244">
        <v>100</v>
      </c>
      <c r="H13" s="244"/>
      <c r="I13" s="244"/>
      <c r="J13" s="36" t="s">
        <v>439</v>
      </c>
      <c r="K13" s="36"/>
      <c r="L13" s="164" t="s">
        <v>595</v>
      </c>
      <c r="M13" s="85"/>
      <c r="N13" s="85"/>
      <c r="O13" s="85"/>
      <c r="P13" s="85"/>
      <c r="Q13" s="165" t="s">
        <v>596</v>
      </c>
      <c r="R13" s="204">
        <v>3</v>
      </c>
      <c r="S13" s="204"/>
      <c r="T13" s="85" t="s">
        <v>93</v>
      </c>
      <c r="U13" s="143"/>
      <c r="AA13" s="158" t="s">
        <v>597</v>
      </c>
    </row>
    <row r="14" spans="1:31" ht="11.25" customHeight="1">
      <c r="A14" s="8">
        <v>12</v>
      </c>
      <c r="B14" s="230" t="s">
        <v>513</v>
      </c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2"/>
      <c r="W14" s="166" t="s">
        <v>598</v>
      </c>
      <c r="AA14" s="35"/>
      <c r="AC14" s="26" t="s">
        <v>599</v>
      </c>
      <c r="AD14" s="5" t="s">
        <v>514</v>
      </c>
      <c r="AE14" s="2" t="s">
        <v>600</v>
      </c>
    </row>
    <row r="15" spans="1:35" ht="11.25" customHeight="1">
      <c r="A15" s="8">
        <v>13</v>
      </c>
      <c r="B15" s="272" t="s">
        <v>601</v>
      </c>
      <c r="C15" s="273"/>
      <c r="D15" s="42"/>
      <c r="E15" s="42"/>
      <c r="F15" s="173" t="s">
        <v>663</v>
      </c>
      <c r="G15" s="42"/>
      <c r="H15" s="42"/>
      <c r="I15" s="42"/>
      <c r="J15" s="42"/>
      <c r="K15" s="42"/>
      <c r="L15" s="237" t="s">
        <v>602</v>
      </c>
      <c r="M15" s="237"/>
      <c r="N15" s="237" t="s">
        <v>471</v>
      </c>
      <c r="O15" s="237"/>
      <c r="P15" s="42"/>
      <c r="Q15" s="42"/>
      <c r="R15" s="167" t="str">
        <f>W14</f>
        <v>Header Flange</v>
      </c>
      <c r="S15" s="42"/>
      <c r="T15" s="42"/>
      <c r="U15" s="57"/>
      <c r="W15" s="1" t="s">
        <v>677</v>
      </c>
      <c r="AG15" s="168" t="s">
        <v>515</v>
      </c>
      <c r="AI15" s="169" t="s">
        <v>516</v>
      </c>
    </row>
    <row r="16" spans="1:35" ht="11.25" customHeight="1">
      <c r="A16" s="8">
        <v>14</v>
      </c>
      <c r="B16" s="274"/>
      <c r="C16" s="275"/>
      <c r="D16" s="36"/>
      <c r="E16" s="36"/>
      <c r="F16" s="152" t="s">
        <v>679</v>
      </c>
      <c r="G16" s="170"/>
      <c r="H16" s="171" t="s">
        <v>603</v>
      </c>
      <c r="I16" s="197" t="s">
        <v>662</v>
      </c>
      <c r="J16" s="36"/>
      <c r="K16" s="36"/>
      <c r="L16" s="244">
        <v>35</v>
      </c>
      <c r="M16" s="244"/>
      <c r="N16" s="261">
        <f>IF(F16=Z7,AA10/L16,IF(L16=L17,hbox_RS_EQ_ts,hbox_RS_DF_ts))</f>
        <v>0.7784567634182988</v>
      </c>
      <c r="O16" s="261"/>
      <c r="P16" s="172" t="str">
        <f>IF(N16&lt;=1,"OK !","X !")</f>
        <v>OK !</v>
      </c>
      <c r="Q16" s="36"/>
      <c r="R16" s="36" t="str">
        <f>W17</f>
        <v>SB 410</v>
      </c>
      <c r="S16" s="36"/>
      <c r="T16" s="36"/>
      <c r="U16" s="63"/>
      <c r="W16" s="2" t="s">
        <v>517</v>
      </c>
      <c r="AA16" s="2" t="s">
        <v>518</v>
      </c>
      <c r="AG16" s="173">
        <v>19</v>
      </c>
      <c r="AI16" s="173">
        <v>16</v>
      </c>
    </row>
    <row r="17" spans="1:35" ht="11.25" customHeight="1">
      <c r="A17" s="8">
        <v>15</v>
      </c>
      <c r="B17" s="154" t="s">
        <v>519</v>
      </c>
      <c r="C17" s="53"/>
      <c r="D17" s="53"/>
      <c r="E17" s="53"/>
      <c r="F17" s="53" t="s">
        <v>678</v>
      </c>
      <c r="G17" s="170"/>
      <c r="H17" s="174">
        <f>stress(W11,Y11,F17,G13,J13,J12,3)</f>
        <v>1040.1105372374868</v>
      </c>
      <c r="I17" s="197" t="s">
        <v>658</v>
      </c>
      <c r="J17" s="36"/>
      <c r="K17" s="36"/>
      <c r="L17" s="244">
        <v>35</v>
      </c>
      <c r="M17" s="244"/>
      <c r="N17" s="261">
        <f>IF(F16="Removable Cover",R53/L17,IF(L16=L17,hbox_RS_EQ_cp,hbox_RS_DF_cp))</f>
        <v>1.471798004459993</v>
      </c>
      <c r="O17" s="261"/>
      <c r="P17" s="172" t="str">
        <f>IF(N17&lt;=1,"OK !","X !")</f>
        <v>X !</v>
      </c>
      <c r="Q17" s="36"/>
      <c r="R17" s="150">
        <f>L17</f>
        <v>35</v>
      </c>
      <c r="S17" s="36" t="s">
        <v>198</v>
      </c>
      <c r="T17" s="153">
        <f>R62/S18</f>
        <v>0.9546941391648738</v>
      </c>
      <c r="U17" s="175" t="str">
        <f>IF(T17&lt;=1,"OK !","X !")</f>
        <v>OK !</v>
      </c>
      <c r="W17" s="2" t="s">
        <v>678</v>
      </c>
      <c r="AA17" s="2" t="s">
        <v>520</v>
      </c>
      <c r="AG17" s="173">
        <v>19</v>
      </c>
      <c r="AI17" s="173">
        <v>16</v>
      </c>
    </row>
    <row r="18" spans="1:35" ht="11.25" customHeight="1">
      <c r="A18" s="8">
        <v>16</v>
      </c>
      <c r="B18" s="155" t="s">
        <v>521</v>
      </c>
      <c r="C18" s="36"/>
      <c r="D18" s="36"/>
      <c r="E18" s="36"/>
      <c r="F18" s="203">
        <v>400</v>
      </c>
      <c r="G18" s="203"/>
      <c r="H18" s="36"/>
      <c r="I18" s="197" t="s">
        <v>659</v>
      </c>
      <c r="J18" s="36"/>
      <c r="K18" s="36"/>
      <c r="L18" s="244">
        <v>25</v>
      </c>
      <c r="M18" s="244"/>
      <c r="N18" s="261">
        <f>IF(L16=L17,hbox_RS_EQ_tp,hbox_RS_DF_tp)</f>
        <v>0.8211778404197978</v>
      </c>
      <c r="O18" s="261"/>
      <c r="P18" s="172" t="str">
        <f>IF(N18&lt;=1,"OK !","X !")</f>
        <v>OK !</v>
      </c>
      <c r="Q18" s="36"/>
      <c r="R18" s="163" t="s">
        <v>604</v>
      </c>
      <c r="S18" s="271">
        <f>stress(W15,W16,W17,G13,J13,J12,3)</f>
        <v>1040.1105372374868</v>
      </c>
      <c r="T18" s="271"/>
      <c r="U18" s="63" t="str">
        <f>upsx(J12)</f>
        <v>kg/cm2</v>
      </c>
      <c r="AA18" s="2" t="s">
        <v>522</v>
      </c>
      <c r="AG18" s="173">
        <v>12</v>
      </c>
      <c r="AI18" s="173">
        <v>10</v>
      </c>
    </row>
    <row r="19" spans="1:35" ht="11.25" customHeight="1">
      <c r="A19" s="8">
        <v>17</v>
      </c>
      <c r="B19" s="155" t="s">
        <v>523</v>
      </c>
      <c r="C19" s="36"/>
      <c r="D19" s="36"/>
      <c r="E19" s="36"/>
      <c r="F19" s="203">
        <v>300</v>
      </c>
      <c r="G19" s="203"/>
      <c r="H19" s="36"/>
      <c r="I19" s="36" t="s">
        <v>660</v>
      </c>
      <c r="J19" s="36"/>
      <c r="K19" s="36"/>
      <c r="L19" s="263">
        <f>AG19</f>
        <v>12</v>
      </c>
      <c r="M19" s="263"/>
      <c r="N19" s="262"/>
      <c r="O19" s="262"/>
      <c r="P19" s="36"/>
      <c r="Q19" s="36"/>
      <c r="R19" s="176">
        <f>U64</f>
      </c>
      <c r="S19" s="36"/>
      <c r="T19" s="36"/>
      <c r="U19" s="63"/>
      <c r="AA19" s="2" t="s">
        <v>524</v>
      </c>
      <c r="AG19" s="173">
        <v>12</v>
      </c>
      <c r="AI19" s="173">
        <v>6</v>
      </c>
    </row>
    <row r="20" spans="1:35" ht="11.25" customHeight="1">
      <c r="A20" s="8">
        <v>18</v>
      </c>
      <c r="B20" s="164" t="s">
        <v>525</v>
      </c>
      <c r="C20" s="85"/>
      <c r="D20" s="85"/>
      <c r="E20" s="85"/>
      <c r="F20" s="204">
        <v>3699</v>
      </c>
      <c r="G20" s="204"/>
      <c r="H20" s="85"/>
      <c r="I20" s="200" t="s">
        <v>661</v>
      </c>
      <c r="J20" s="85"/>
      <c r="K20" s="85"/>
      <c r="L20" s="204">
        <v>25</v>
      </c>
      <c r="M20" s="204"/>
      <c r="N20" s="73" t="s">
        <v>507</v>
      </c>
      <c r="O20" s="177">
        <f>hbox_tr_ec</f>
        <v>24.741619482473922</v>
      </c>
      <c r="P20" s="172" t="str">
        <f>IF(L20&gt;=O20,"OK !","X !")</f>
        <v>OK !</v>
      </c>
      <c r="Q20" s="85"/>
      <c r="R20" s="85"/>
      <c r="S20" s="85"/>
      <c r="T20" s="85"/>
      <c r="U20" s="143"/>
      <c r="AA20" s="2" t="s">
        <v>526</v>
      </c>
      <c r="AG20" s="173">
        <v>25</v>
      </c>
      <c r="AI20" s="173">
        <v>22</v>
      </c>
    </row>
    <row r="21" spans="1:21" ht="11.25" customHeight="1">
      <c r="A21" s="8">
        <v>19</v>
      </c>
      <c r="B21" s="230" t="s">
        <v>527</v>
      </c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2"/>
    </row>
    <row r="22" spans="1:35" ht="11.25" customHeight="1">
      <c r="A22" s="8">
        <v>20</v>
      </c>
      <c r="B22" s="178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R22" s="1"/>
      <c r="S22" s="1"/>
      <c r="T22" s="1"/>
      <c r="U22" s="179"/>
      <c r="Y22" s="26" t="s">
        <v>605</v>
      </c>
      <c r="Z22" s="5" t="s">
        <v>514</v>
      </c>
      <c r="AA22" s="35" t="s">
        <v>528</v>
      </c>
      <c r="AE22" s="173">
        <v>20</v>
      </c>
      <c r="AF22" s="2" t="s">
        <v>93</v>
      </c>
      <c r="AG22" s="235" t="s">
        <v>538</v>
      </c>
      <c r="AH22" s="235"/>
      <c r="AI22" s="2" t="s">
        <v>606</v>
      </c>
    </row>
    <row r="23" spans="1:35" ht="11.25" customHeight="1">
      <c r="A23" s="8">
        <v>21</v>
      </c>
      <c r="B23" s="178"/>
      <c r="C23" s="1"/>
      <c r="E23" s="1"/>
      <c r="F23" s="1"/>
      <c r="G23" s="1"/>
      <c r="H23" s="1"/>
      <c r="I23" s="1"/>
      <c r="J23" s="1"/>
      <c r="K23" s="1"/>
      <c r="L23" s="1"/>
      <c r="M23" s="180" t="s">
        <v>529</v>
      </c>
      <c r="O23" s="1"/>
      <c r="P23" s="1"/>
      <c r="Q23" s="180" t="s">
        <v>530</v>
      </c>
      <c r="S23" s="169" t="s">
        <v>531</v>
      </c>
      <c r="U23" s="179"/>
      <c r="AE23" s="173">
        <v>16</v>
      </c>
      <c r="AG23" s="235" t="s">
        <v>537</v>
      </c>
      <c r="AH23" s="235"/>
      <c r="AI23" s="2" t="s">
        <v>532</v>
      </c>
    </row>
    <row r="24" spans="1:27" ht="11.25" customHeight="1">
      <c r="A24" s="8">
        <v>22</v>
      </c>
      <c r="B24" s="178"/>
      <c r="C24" s="1"/>
      <c r="D24" s="1"/>
      <c r="E24" s="1"/>
      <c r="F24" s="1"/>
      <c r="G24" s="1"/>
      <c r="H24" s="1"/>
      <c r="I24" s="1"/>
      <c r="J24" s="1"/>
      <c r="K24" s="1"/>
      <c r="L24" s="1"/>
      <c r="M24" s="8">
        <f>L17</f>
        <v>35</v>
      </c>
      <c r="N24" s="1"/>
      <c r="P24" s="1"/>
      <c r="Q24" s="19">
        <f>R17</f>
        <v>35</v>
      </c>
      <c r="S24" s="14">
        <f>boltflg(J34,3)</f>
        <v>24</v>
      </c>
      <c r="T24" s="1"/>
      <c r="U24" s="179"/>
      <c r="Y24" s="26" t="s">
        <v>607</v>
      </c>
      <c r="Z24" s="5" t="s">
        <v>514</v>
      </c>
      <c r="AA24" s="35" t="s">
        <v>533</v>
      </c>
    </row>
    <row r="25" spans="1:46" ht="11.25" customHeight="1">
      <c r="A25" s="8">
        <v>23</v>
      </c>
      <c r="B25" s="178"/>
      <c r="C25" s="1"/>
      <c r="D25" s="1"/>
      <c r="E25" s="1"/>
      <c r="F25" s="1"/>
      <c r="G25" s="1"/>
      <c r="H25" s="1"/>
      <c r="I25" s="1"/>
      <c r="J25" s="1"/>
      <c r="K25" s="1"/>
      <c r="L25" s="1"/>
      <c r="T25" s="1"/>
      <c r="U25" s="179"/>
      <c r="W25" s="10">
        <v>16</v>
      </c>
      <c r="X25" s="10" t="s">
        <v>93</v>
      </c>
      <c r="Y25" s="241">
        <v>19</v>
      </c>
      <c r="Z25" s="241"/>
      <c r="AA25" s="241">
        <v>22</v>
      </c>
      <c r="AB25" s="241"/>
      <c r="AC25" s="241">
        <v>25</v>
      </c>
      <c r="AD25" s="241"/>
      <c r="AE25" s="241">
        <v>29</v>
      </c>
      <c r="AF25" s="241"/>
      <c r="AG25" s="241">
        <v>32</v>
      </c>
      <c r="AH25" s="241"/>
      <c r="AI25" s="241">
        <v>35</v>
      </c>
      <c r="AJ25" s="241"/>
      <c r="AK25" s="241">
        <v>38</v>
      </c>
      <c r="AL25" s="241"/>
      <c r="AM25" s="241">
        <v>41</v>
      </c>
      <c r="AN25" s="241"/>
      <c r="AO25" s="241">
        <v>44</v>
      </c>
      <c r="AP25" s="241"/>
      <c r="AQ25" s="241">
        <v>48</v>
      </c>
      <c r="AR25" s="241"/>
      <c r="AS25" s="256">
        <v>51</v>
      </c>
      <c r="AT25" s="256"/>
    </row>
    <row r="26" spans="1:46" ht="11.25" customHeight="1">
      <c r="A26" s="8">
        <v>24</v>
      </c>
      <c r="B26" s="178"/>
      <c r="C26" s="1"/>
      <c r="D26" s="1"/>
      <c r="E26" s="1"/>
      <c r="F26" s="1"/>
      <c r="G26" s="1"/>
      <c r="H26" s="1"/>
      <c r="I26" s="1"/>
      <c r="J26" s="1"/>
      <c r="K26" s="180" t="s">
        <v>534</v>
      </c>
      <c r="L26" s="1"/>
      <c r="O26" s="1"/>
      <c r="R26" s="181" t="s">
        <v>535</v>
      </c>
      <c r="S26" s="8">
        <f>T27-S28</f>
        <v>29.36875</v>
      </c>
      <c r="T26" s="180" t="s">
        <v>536</v>
      </c>
      <c r="U26" s="179"/>
      <c r="W26" s="239" t="s">
        <v>537</v>
      </c>
      <c r="X26" s="239"/>
      <c r="Y26" s="240" t="s">
        <v>538</v>
      </c>
      <c r="Z26" s="240"/>
      <c r="AA26" s="240" t="s">
        <v>608</v>
      </c>
      <c r="AB26" s="240"/>
      <c r="AC26" s="240" t="s">
        <v>609</v>
      </c>
      <c r="AD26" s="240"/>
      <c r="AE26" s="240" t="s">
        <v>610</v>
      </c>
      <c r="AF26" s="240"/>
      <c r="AG26" s="240" t="s">
        <v>611</v>
      </c>
      <c r="AH26" s="240"/>
      <c r="AI26" s="240" t="s">
        <v>539</v>
      </c>
      <c r="AJ26" s="240"/>
      <c r="AK26" s="240" t="s">
        <v>540</v>
      </c>
      <c r="AL26" s="240"/>
      <c r="AM26" s="240" t="s">
        <v>541</v>
      </c>
      <c r="AN26" s="240"/>
      <c r="AO26" s="240" t="s">
        <v>542</v>
      </c>
      <c r="AP26" s="240"/>
      <c r="AQ26" s="240" t="s">
        <v>543</v>
      </c>
      <c r="AR26" s="240"/>
      <c r="AS26" s="239" t="s">
        <v>544</v>
      </c>
      <c r="AT26" s="239"/>
    </row>
    <row r="27" spans="1:46" ht="11.25" customHeight="1">
      <c r="A27" s="8">
        <v>25</v>
      </c>
      <c r="B27" s="178"/>
      <c r="C27" s="1"/>
      <c r="D27" s="1"/>
      <c r="E27" s="1"/>
      <c r="F27" s="1"/>
      <c r="G27" s="1"/>
      <c r="H27" s="1"/>
      <c r="I27" s="1"/>
      <c r="J27" s="1"/>
      <c r="K27" s="8">
        <f>L17/2+S28</f>
        <v>38.93125</v>
      </c>
      <c r="L27" s="1"/>
      <c r="O27" s="1"/>
      <c r="S27" s="182" t="s">
        <v>545</v>
      </c>
      <c r="T27" s="147">
        <v>50.8</v>
      </c>
      <c r="U27" s="179"/>
      <c r="W27" s="80">
        <v>38</v>
      </c>
      <c r="X27" s="80" t="s">
        <v>93</v>
      </c>
      <c r="Y27" s="229">
        <v>44</v>
      </c>
      <c r="Z27" s="229"/>
      <c r="AA27" s="229">
        <v>52</v>
      </c>
      <c r="AB27" s="229"/>
      <c r="AC27" s="229">
        <v>57</v>
      </c>
      <c r="AD27" s="229"/>
      <c r="AE27" s="229">
        <v>64</v>
      </c>
      <c r="AF27" s="229"/>
      <c r="AG27" s="229">
        <v>71</v>
      </c>
      <c r="AH27" s="229"/>
      <c r="AI27" s="229">
        <v>76</v>
      </c>
      <c r="AJ27" s="229"/>
      <c r="AK27" s="229">
        <v>83</v>
      </c>
      <c r="AL27" s="229"/>
      <c r="AM27" s="229">
        <v>89</v>
      </c>
      <c r="AN27" s="229"/>
      <c r="AO27" s="229">
        <v>95</v>
      </c>
      <c r="AP27" s="229"/>
      <c r="AQ27" s="229">
        <v>102</v>
      </c>
      <c r="AR27" s="229"/>
      <c r="AS27" s="257">
        <v>108</v>
      </c>
      <c r="AT27" s="257"/>
    </row>
    <row r="28" spans="1:21" ht="11.25" customHeight="1">
      <c r="A28" s="8">
        <v>26</v>
      </c>
      <c r="B28" s="178"/>
      <c r="C28" s="1"/>
      <c r="D28" s="1"/>
      <c r="E28" s="1"/>
      <c r="F28" s="1"/>
      <c r="G28" s="1"/>
      <c r="H28" s="1"/>
      <c r="I28" s="1"/>
      <c r="J28" s="1"/>
      <c r="K28" s="1"/>
      <c r="L28" s="1"/>
      <c r="O28" s="1"/>
      <c r="S28" s="150">
        <f>25.4*0.84375</f>
        <v>21.43125</v>
      </c>
      <c r="T28" s="1"/>
      <c r="U28" s="179"/>
    </row>
    <row r="29" spans="1:23" ht="11.25" customHeight="1">
      <c r="A29" s="8">
        <v>27</v>
      </c>
      <c r="B29" s="178"/>
      <c r="C29" s="1"/>
      <c r="D29" s="1"/>
      <c r="E29" s="1"/>
      <c r="F29" s="1"/>
      <c r="G29" s="1"/>
      <c r="H29" s="1"/>
      <c r="I29" s="1"/>
      <c r="J29" s="1"/>
      <c r="K29" s="183" t="s">
        <v>546</v>
      </c>
      <c r="L29" s="1"/>
      <c r="O29" s="1"/>
      <c r="S29" s="14">
        <f>boltflg(J34,2)</f>
        <v>24</v>
      </c>
      <c r="T29" s="1" t="str">
        <f>"&lt; "&amp;S23</f>
        <v>&lt; Min, recommended</v>
      </c>
      <c r="U29" s="179"/>
      <c r="W29" s="158" t="s">
        <v>547</v>
      </c>
    </row>
    <row r="30" spans="1:30" ht="11.25" customHeight="1">
      <c r="A30" s="8">
        <v>28</v>
      </c>
      <c r="B30" s="178"/>
      <c r="C30" s="1"/>
      <c r="D30" s="1"/>
      <c r="E30" s="1"/>
      <c r="F30" s="1"/>
      <c r="G30" s="1"/>
      <c r="H30" s="1"/>
      <c r="I30" s="1"/>
      <c r="J30" s="1"/>
      <c r="K30" s="151">
        <f>F18+L18</f>
        <v>425</v>
      </c>
      <c r="L30" s="1"/>
      <c r="O30" s="1"/>
      <c r="P30" s="180" t="s">
        <v>612</v>
      </c>
      <c r="Q30" s="180" t="s">
        <v>613</v>
      </c>
      <c r="R30" s="19" t="str">
        <f>P30</f>
        <v>b1</v>
      </c>
      <c r="T30" s="1"/>
      <c r="U30" s="179"/>
      <c r="W30" s="2" t="s">
        <v>548</v>
      </c>
      <c r="X30" s="233">
        <f>R11+AD30</f>
        <v>28.4</v>
      </c>
      <c r="Y30" s="233"/>
      <c r="Z30" s="49" t="s">
        <v>549</v>
      </c>
      <c r="AA30" s="233" t="s">
        <v>550</v>
      </c>
      <c r="AB30" s="233"/>
      <c r="AC30" s="233"/>
      <c r="AD30" s="150">
        <v>3</v>
      </c>
    </row>
    <row r="31" spans="1:21" ht="11.25" customHeight="1">
      <c r="A31" s="8">
        <v>29</v>
      </c>
      <c r="B31" s="178"/>
      <c r="C31" s="1"/>
      <c r="D31" s="1"/>
      <c r="E31" s="1"/>
      <c r="F31" s="1"/>
      <c r="G31" s="1"/>
      <c r="H31" s="1"/>
      <c r="I31" s="1"/>
      <c r="J31" s="1"/>
      <c r="K31" s="1"/>
      <c r="L31" s="1"/>
      <c r="M31" s="52" t="s">
        <v>614</v>
      </c>
      <c r="N31" s="1"/>
      <c r="O31" s="1"/>
      <c r="P31" s="19">
        <f>Q24/3</f>
        <v>11.666666666666666</v>
      </c>
      <c r="Q31" s="19">
        <f>Q24-2*P31</f>
        <v>11.666666666666668</v>
      </c>
      <c r="T31" s="1"/>
      <c r="U31" s="179"/>
    </row>
    <row r="32" spans="1:23" ht="11.25" customHeight="1">
      <c r="A32" s="8">
        <v>30</v>
      </c>
      <c r="B32" s="178"/>
      <c r="C32" s="1"/>
      <c r="D32" s="1"/>
      <c r="E32" s="1"/>
      <c r="F32" s="1"/>
      <c r="G32" s="1"/>
      <c r="H32" s="1"/>
      <c r="I32" s="1"/>
      <c r="J32" s="166" t="s">
        <v>615</v>
      </c>
      <c r="K32" s="1"/>
      <c r="L32" s="1"/>
      <c r="M32" s="1" t="s">
        <v>616</v>
      </c>
      <c r="N32" s="1"/>
      <c r="Q32" s="1"/>
      <c r="S32" s="184" t="s">
        <v>617</v>
      </c>
      <c r="T32" s="1"/>
      <c r="U32" s="179"/>
      <c r="W32" s="158" t="s">
        <v>618</v>
      </c>
    </row>
    <row r="33" spans="1:23" ht="11.25" customHeight="1">
      <c r="A33" s="8">
        <v>31</v>
      </c>
      <c r="B33" s="178"/>
      <c r="C33" s="1"/>
      <c r="D33" s="1"/>
      <c r="E33" s="1"/>
      <c r="F33" s="1"/>
      <c r="G33" s="1"/>
      <c r="H33" s="1"/>
      <c r="I33" s="1"/>
      <c r="J33" s="1" t="s">
        <v>551</v>
      </c>
      <c r="K33" s="1"/>
      <c r="L33" s="1"/>
      <c r="M33" s="185" t="s">
        <v>619</v>
      </c>
      <c r="N33" s="1"/>
      <c r="Q33" s="1"/>
      <c r="R33" s="186" t="s">
        <v>620</v>
      </c>
      <c r="S33" s="1">
        <f>gasket(S37,J12,1)</f>
        <v>3</v>
      </c>
      <c r="T33" s="1"/>
      <c r="U33" s="179"/>
      <c r="W33" s="2" t="s">
        <v>552</v>
      </c>
    </row>
    <row r="34" spans="1:23" ht="11.25" customHeight="1">
      <c r="A34" s="8">
        <v>32</v>
      </c>
      <c r="B34" s="178"/>
      <c r="C34" s="1"/>
      <c r="D34" s="1"/>
      <c r="E34" s="1"/>
      <c r="F34" s="260" t="s">
        <v>553</v>
      </c>
      <c r="G34" s="260"/>
      <c r="H34" s="184" t="s">
        <v>531</v>
      </c>
      <c r="I34" s="1"/>
      <c r="J34" s="1" t="s">
        <v>554</v>
      </c>
      <c r="K34" s="1"/>
      <c r="L34" s="1"/>
      <c r="M34" s="5">
        <f>Q37+1.5</f>
        <v>4.5</v>
      </c>
      <c r="N34" s="1"/>
      <c r="O34" s="1"/>
      <c r="P34" s="166" t="s">
        <v>555</v>
      </c>
      <c r="R34" s="186" t="s">
        <v>167</v>
      </c>
      <c r="S34" s="184" t="s">
        <v>621</v>
      </c>
      <c r="U34" s="179"/>
      <c r="W34" s="2" t="s">
        <v>556</v>
      </c>
    </row>
    <row r="35" spans="1:21" ht="11.25" customHeight="1">
      <c r="A35" s="8">
        <v>33</v>
      </c>
      <c r="B35" s="178"/>
      <c r="C35" s="1"/>
      <c r="D35" s="1"/>
      <c r="E35" s="180" t="s">
        <v>557</v>
      </c>
      <c r="F35" s="235">
        <f>25.4*2.75</f>
        <v>69.85</v>
      </c>
      <c r="G35" s="235"/>
      <c r="H35" s="31">
        <f>boltflg(J34,0)</f>
        <v>52</v>
      </c>
      <c r="I35" s="186" t="s">
        <v>622</v>
      </c>
      <c r="J35" s="3">
        <f>boltsz(J34,3)</f>
        <v>217.051</v>
      </c>
      <c r="K35" s="2" t="str">
        <f>T45</f>
        <v>mm2</v>
      </c>
      <c r="L35" s="1"/>
      <c r="M35" s="19" t="str">
        <f>P35</f>
        <v>Width</v>
      </c>
      <c r="N35" s="1"/>
      <c r="O35" s="1"/>
      <c r="P35" s="19" t="s">
        <v>623</v>
      </c>
      <c r="Q35" s="19" t="s">
        <v>198</v>
      </c>
      <c r="R35" s="1"/>
      <c r="S35" s="30">
        <f>gasket(S37,J12,2)</f>
        <v>703.0695796391593</v>
      </c>
      <c r="T35" s="1" t="str">
        <f>upsx(J12)</f>
        <v>kg/cm2</v>
      </c>
      <c r="U35" s="179"/>
    </row>
    <row r="36" spans="1:23" ht="11.25" customHeight="1">
      <c r="A36" s="8">
        <v>34</v>
      </c>
      <c r="B36" s="178"/>
      <c r="C36" s="1"/>
      <c r="D36" s="1"/>
      <c r="E36" s="8">
        <f>F20+L20</f>
        <v>3724</v>
      </c>
      <c r="G36" s="1"/>
      <c r="H36" s="1"/>
      <c r="I36" s="1"/>
      <c r="J36" s="1" t="s">
        <v>680</v>
      </c>
      <c r="K36" s="1"/>
      <c r="L36" s="1"/>
      <c r="M36" s="180" t="s">
        <v>624</v>
      </c>
      <c r="N36" s="1"/>
      <c r="O36" s="1"/>
      <c r="P36" s="180" t="s">
        <v>625</v>
      </c>
      <c r="Q36" s="180" t="s">
        <v>626</v>
      </c>
      <c r="R36" s="1"/>
      <c r="S36" s="1" t="s">
        <v>558</v>
      </c>
      <c r="T36" s="1"/>
      <c r="U36" s="179"/>
      <c r="W36" s="158" t="s">
        <v>559</v>
      </c>
    </row>
    <row r="37" spans="1:31" ht="11.25" customHeight="1">
      <c r="A37" s="8">
        <v>35</v>
      </c>
      <c r="B37" s="178"/>
      <c r="C37" s="1"/>
      <c r="D37" s="1"/>
      <c r="E37" s="1"/>
      <c r="G37" s="1"/>
      <c r="H37" s="1"/>
      <c r="I37" s="186" t="s">
        <v>627</v>
      </c>
      <c r="J37" s="29">
        <f>boltst(W15,J36,15,"℃",J12,3)</f>
        <v>1244.0537798330724</v>
      </c>
      <c r="K37" s="1" t="str">
        <f>upsx(J12)</f>
        <v>kg/cm2</v>
      </c>
      <c r="L37" s="1"/>
      <c r="M37" s="19">
        <f>P37</f>
        <v>12</v>
      </c>
      <c r="N37" s="1" t="s">
        <v>93</v>
      </c>
      <c r="O37" s="1"/>
      <c r="P37" s="147">
        <v>12</v>
      </c>
      <c r="Q37" s="147">
        <v>3</v>
      </c>
      <c r="R37" s="1" t="s">
        <v>93</v>
      </c>
      <c r="S37" s="1" t="s">
        <v>560</v>
      </c>
      <c r="T37" s="1"/>
      <c r="U37" s="179"/>
      <c r="W37" s="8">
        <v>1</v>
      </c>
      <c r="X37" s="2" t="s">
        <v>561</v>
      </c>
      <c r="AD37" s="187" t="s">
        <v>628</v>
      </c>
      <c r="AE37" s="8">
        <v>25</v>
      </c>
    </row>
    <row r="38" spans="1:31" ht="11.25" customHeight="1">
      <c r="A38" s="8">
        <v>36</v>
      </c>
      <c r="B38" s="178"/>
      <c r="C38" s="52" t="s">
        <v>629</v>
      </c>
      <c r="D38" s="1"/>
      <c r="E38" s="1"/>
      <c r="F38" s="1"/>
      <c r="G38" s="1"/>
      <c r="H38" s="1"/>
      <c r="I38" s="186" t="s">
        <v>373</v>
      </c>
      <c r="J38" s="30">
        <f>boltst(W15,J36,G13,J13,J12,3)</f>
        <v>1244.0537798330724</v>
      </c>
      <c r="K38" s="1" t="str">
        <f>K37</f>
        <v>kg/cm2</v>
      </c>
      <c r="L38" s="1"/>
      <c r="M38" s="1"/>
      <c r="N38" s="1"/>
      <c r="O38" s="1"/>
      <c r="P38" s="1"/>
      <c r="Q38" s="1"/>
      <c r="R38" s="1"/>
      <c r="S38" s="1"/>
      <c r="T38" s="1"/>
      <c r="U38" s="179"/>
      <c r="W38" s="8">
        <v>2</v>
      </c>
      <c r="X38" s="2" t="s">
        <v>561</v>
      </c>
      <c r="AD38" s="187" t="s">
        <v>562</v>
      </c>
      <c r="AE38" s="8">
        <f>AE37</f>
        <v>25</v>
      </c>
    </row>
    <row r="39" spans="1:21" ht="11.25" customHeight="1">
      <c r="A39" s="8">
        <v>37</v>
      </c>
      <c r="B39" s="178"/>
      <c r="C39" s="1" t="s">
        <v>563</v>
      </c>
      <c r="D39" s="1"/>
      <c r="E39" s="1"/>
      <c r="F39" s="1"/>
      <c r="G39" s="1"/>
      <c r="H39" s="9" t="s">
        <v>630</v>
      </c>
      <c r="I39" s="2" t="s">
        <v>46</v>
      </c>
      <c r="J39" s="1" t="str">
        <f>"min( ( "&amp;M36&amp;" + "&amp;Q36&amp;" ) / 2, ( "&amp;M36&amp;" + "&amp;P36&amp;" ) / 4 )"</f>
        <v>min( ( wgv + tg ) / 2, ( wgv + wg ) / 4 )</v>
      </c>
      <c r="K39" s="1"/>
      <c r="L39" s="1"/>
      <c r="M39" s="1"/>
      <c r="N39" s="1"/>
      <c r="Q39" s="19" t="s">
        <v>46</v>
      </c>
      <c r="R39" s="265">
        <f>MIN((M37+Q37)/2,(M37+P37)/4)</f>
        <v>6</v>
      </c>
      <c r="S39" s="265"/>
      <c r="T39" s="1" t="s">
        <v>93</v>
      </c>
      <c r="U39" s="179"/>
    </row>
    <row r="40" spans="1:23" ht="11.25" customHeight="1">
      <c r="A40" s="8">
        <v>38</v>
      </c>
      <c r="B40" s="178"/>
      <c r="C40" s="1" t="s">
        <v>631</v>
      </c>
      <c r="D40" s="1"/>
      <c r="E40" s="1"/>
      <c r="F40" s="1"/>
      <c r="G40" s="1"/>
      <c r="H40" s="9" t="s">
        <v>632</v>
      </c>
      <c r="I40" s="1" t="s">
        <v>46</v>
      </c>
      <c r="J40" s="1" t="str">
        <f>IF(R39&lt;=25.4/4,H39,H39&amp;"^0.5 / 2")</f>
        <v>bo</v>
      </c>
      <c r="K40" s="1"/>
      <c r="L40" s="1"/>
      <c r="M40" s="1"/>
      <c r="N40" s="1"/>
      <c r="O40" s="1"/>
      <c r="Q40" s="19" t="s">
        <v>46</v>
      </c>
      <c r="R40" s="266">
        <f>IF(R39&lt;=25.4/4,R39,R39^0.5/2)</f>
        <v>6</v>
      </c>
      <c r="S40" s="266"/>
      <c r="T40" s="1" t="str">
        <f>T39</f>
        <v>mm</v>
      </c>
      <c r="U40" s="179"/>
      <c r="W40" s="158" t="s">
        <v>633</v>
      </c>
    </row>
    <row r="41" spans="1:30" ht="11.25" customHeight="1">
      <c r="A41" s="8">
        <v>39</v>
      </c>
      <c r="B41" s="178"/>
      <c r="C41" s="1" t="s">
        <v>564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U41" s="179"/>
      <c r="W41" s="2" t="s">
        <v>565</v>
      </c>
      <c r="Z41" s="188" t="s">
        <v>634</v>
      </c>
      <c r="AC41" s="235">
        <v>6</v>
      </c>
      <c r="AD41" s="235"/>
    </row>
    <row r="42" spans="1:21" ht="11.25" customHeight="1">
      <c r="A42" s="8">
        <v>40</v>
      </c>
      <c r="B42" s="178"/>
      <c r="C42" s="1"/>
      <c r="D42" s="9" t="s">
        <v>635</v>
      </c>
      <c r="E42" s="1" t="s">
        <v>46</v>
      </c>
      <c r="F42" s="19" t="str">
        <f>F34</f>
        <v>Bs</v>
      </c>
      <c r="G42" s="19" t="s">
        <v>18</v>
      </c>
      <c r="H42" s="19" t="str">
        <f>H40</f>
        <v>b</v>
      </c>
      <c r="I42" s="19" t="s">
        <v>18</v>
      </c>
      <c r="J42" s="19" t="str">
        <f>R34</f>
        <v>y</v>
      </c>
      <c r="K42" s="1"/>
      <c r="L42" s="1"/>
      <c r="M42" s="1"/>
      <c r="N42" s="1"/>
      <c r="O42" s="1"/>
      <c r="Q42" s="19" t="s">
        <v>46</v>
      </c>
      <c r="R42" s="264">
        <f>F35*R40*S35</f>
        <v>294656.4608267716</v>
      </c>
      <c r="S42" s="264"/>
      <c r="T42" s="1" t="str">
        <f>T35&amp;".mm2"</f>
        <v>kg/cm2.mm2</v>
      </c>
      <c r="U42" s="179"/>
    </row>
    <row r="43" spans="1:21" ht="11.25" customHeight="1">
      <c r="A43" s="8">
        <v>41</v>
      </c>
      <c r="B43" s="178"/>
      <c r="C43" s="1" t="s">
        <v>566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79"/>
    </row>
    <row r="44" spans="1:21" ht="11.25" customHeight="1">
      <c r="A44" s="8">
        <v>42</v>
      </c>
      <c r="B44" s="178"/>
      <c r="C44" s="1"/>
      <c r="D44" s="9" t="s">
        <v>636</v>
      </c>
      <c r="E44" s="1" t="s">
        <v>46</v>
      </c>
      <c r="F44" s="19" t="str">
        <f>K29&amp;" / 2"</f>
        <v>G / 2</v>
      </c>
      <c r="G44" s="19" t="str">
        <f>F34</f>
        <v>Bs</v>
      </c>
      <c r="H44" s="19" t="str">
        <f>F12</f>
        <v>P</v>
      </c>
      <c r="I44" s="19" t="s">
        <v>55</v>
      </c>
      <c r="J44" s="19">
        <v>2</v>
      </c>
      <c r="K44" s="19" t="str">
        <f>H40</f>
        <v>b</v>
      </c>
      <c r="L44" s="19" t="str">
        <f>G44</f>
        <v>Bs</v>
      </c>
      <c r="M44" s="19" t="str">
        <f>R33</f>
        <v>m</v>
      </c>
      <c r="N44" s="8" t="str">
        <f>H44</f>
        <v>P</v>
      </c>
      <c r="O44" s="1"/>
      <c r="P44" s="1"/>
      <c r="Q44" s="19" t="s">
        <v>46</v>
      </c>
      <c r="R44" s="264">
        <f>K30/2*F35*G12+J44*R40*F35*S33*G12</f>
        <v>173577.24999999997</v>
      </c>
      <c r="S44" s="264"/>
      <c r="T44" s="1" t="str">
        <f>T42</f>
        <v>kg/cm2.mm2</v>
      </c>
      <c r="U44" s="179"/>
    </row>
    <row r="45" spans="1:22" ht="11.25" customHeight="1">
      <c r="A45" s="8">
        <v>43</v>
      </c>
      <c r="B45" s="178"/>
      <c r="C45" s="1" t="s">
        <v>567</v>
      </c>
      <c r="D45" s="1"/>
      <c r="E45" s="1"/>
      <c r="F45" s="1"/>
      <c r="G45" s="1"/>
      <c r="H45" s="1"/>
      <c r="I45" s="1"/>
      <c r="J45" s="9" t="s">
        <v>637</v>
      </c>
      <c r="K45" s="1" t="s">
        <v>46</v>
      </c>
      <c r="L45" s="1" t="str">
        <f>"greater of "&amp;D42&amp;" / "&amp;I37&amp;" or "&amp;D44&amp;" / "&amp;I38</f>
        <v>greater of Wm2 / Sa or Wm1 / Sb</v>
      </c>
      <c r="M45" s="1"/>
      <c r="N45" s="1"/>
      <c r="O45" s="1"/>
      <c r="Q45" s="19" t="s">
        <v>46</v>
      </c>
      <c r="R45" s="267">
        <f>MAX(R42/J37,R44/J38)</f>
        <v>236.8518673415459</v>
      </c>
      <c r="S45" s="267"/>
      <c r="T45" s="1" t="s">
        <v>584</v>
      </c>
      <c r="U45" s="189" t="str">
        <f>IF(J35&gt;=R45,"OK !","X !")</f>
        <v>X !</v>
      </c>
      <c r="V45" s="178"/>
    </row>
    <row r="46" spans="1:24" ht="11.25" customHeight="1">
      <c r="A46" s="8">
        <v>44</v>
      </c>
      <c r="B46" s="178"/>
      <c r="C46" s="1" t="s">
        <v>568</v>
      </c>
      <c r="G46" s="1"/>
      <c r="H46" s="1"/>
      <c r="I46" s="1"/>
      <c r="J46" s="9" t="s">
        <v>638</v>
      </c>
      <c r="K46" s="1" t="s">
        <v>46</v>
      </c>
      <c r="L46" s="19" t="str">
        <f>I35</f>
        <v>Ab</v>
      </c>
      <c r="M46" s="19" t="s">
        <v>18</v>
      </c>
      <c r="N46" s="19" t="str">
        <f>I37</f>
        <v>Sa</v>
      </c>
      <c r="O46" s="1"/>
      <c r="Q46" s="19" t="s">
        <v>46</v>
      </c>
      <c r="R46" s="264">
        <f>J35*J37</f>
        <v>270023.1169665482</v>
      </c>
      <c r="S46" s="264"/>
      <c r="T46" s="1" t="str">
        <f>T42</f>
        <v>kg/cm2.mm2</v>
      </c>
      <c r="U46" s="179"/>
      <c r="W46" s="3"/>
      <c r="X46" s="3"/>
    </row>
    <row r="47" spans="1:21" ht="11.25" customHeight="1">
      <c r="A47" s="8">
        <v>45</v>
      </c>
      <c r="B47" s="178"/>
      <c r="C47" s="1" t="s">
        <v>569</v>
      </c>
      <c r="D47" s="1"/>
      <c r="G47" s="1"/>
      <c r="H47" s="1"/>
      <c r="I47" s="1"/>
      <c r="J47" s="15" t="s">
        <v>639</v>
      </c>
      <c r="K47" s="1" t="s">
        <v>46</v>
      </c>
      <c r="L47" s="19" t="str">
        <f>J46</f>
        <v>W1</v>
      </c>
      <c r="M47" s="19" t="s">
        <v>570</v>
      </c>
      <c r="N47" s="19">
        <v>2</v>
      </c>
      <c r="O47" s="19" t="str">
        <f>F34</f>
        <v>Bs</v>
      </c>
      <c r="P47" s="19" t="str">
        <f>R34&amp;"  )"</f>
        <v>y  )</v>
      </c>
      <c r="Q47" s="19" t="s">
        <v>46</v>
      </c>
      <c r="R47" s="267">
        <f>R46/(N47*F35*S35)</f>
        <v>2.749199351090706</v>
      </c>
      <c r="S47" s="267"/>
      <c r="T47" s="1" t="s">
        <v>93</v>
      </c>
      <c r="U47" s="189" t="str">
        <f>IF(P37&gt;=R47,"OK !","X !")</f>
        <v>OK !</v>
      </c>
    </row>
    <row r="48" spans="1:21" ht="11.25" customHeight="1">
      <c r="A48" s="8">
        <v>46</v>
      </c>
      <c r="B48" s="178"/>
      <c r="C48" s="1"/>
      <c r="G48" s="1"/>
      <c r="H48" s="1"/>
      <c r="I48" s="1"/>
      <c r="J48" s="9" t="s">
        <v>640</v>
      </c>
      <c r="K48" s="1" t="s">
        <v>46</v>
      </c>
      <c r="L48" s="1" t="str">
        <f>"greater of "&amp;D42&amp;" and "&amp;D44</f>
        <v>greater of Wm2 and Wm1</v>
      </c>
      <c r="M48" s="1"/>
      <c r="N48" s="1"/>
      <c r="O48" s="1"/>
      <c r="P48" s="1"/>
      <c r="Q48" s="19" t="s">
        <v>46</v>
      </c>
      <c r="R48" s="264">
        <f>MAX(R42,R44)</f>
        <v>294656.4608267716</v>
      </c>
      <c r="S48" s="264"/>
      <c r="T48" s="1" t="str">
        <f>T42</f>
        <v>kg/cm2.mm2</v>
      </c>
      <c r="U48" s="179"/>
    </row>
    <row r="49" spans="1:21" ht="11.25" customHeight="1">
      <c r="A49" s="8">
        <v>47</v>
      </c>
      <c r="B49" s="178"/>
      <c r="C49" s="1" t="s">
        <v>571</v>
      </c>
      <c r="D49" s="1"/>
      <c r="E49" s="1"/>
      <c r="F49" s="1"/>
      <c r="G49" s="1"/>
      <c r="H49" s="1"/>
      <c r="I49" s="1"/>
      <c r="J49" s="9" t="s">
        <v>535</v>
      </c>
      <c r="K49" s="1" t="s">
        <v>46</v>
      </c>
      <c r="L49" s="19" t="s">
        <v>78</v>
      </c>
      <c r="M49" s="19" t="str">
        <f>J48</f>
        <v>Wm</v>
      </c>
      <c r="N49" s="19" t="s">
        <v>55</v>
      </c>
      <c r="O49" s="19" t="str">
        <f>J46</f>
        <v>W1</v>
      </c>
      <c r="P49" s="19" t="s">
        <v>572</v>
      </c>
      <c r="Q49" s="19" t="s">
        <v>46</v>
      </c>
      <c r="R49" s="264">
        <f>(R48+R46)/2</f>
        <v>282339.7888966599</v>
      </c>
      <c r="S49" s="264"/>
      <c r="T49" s="1" t="str">
        <f>T48</f>
        <v>kg/cm2.mm2</v>
      </c>
      <c r="U49" s="179"/>
    </row>
    <row r="50" spans="1:21" ht="11.25" customHeight="1">
      <c r="A50" s="8">
        <v>48</v>
      </c>
      <c r="B50" s="178"/>
      <c r="C50" s="52" t="s">
        <v>641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79"/>
    </row>
    <row r="51" spans="1:21" ht="11.25" customHeight="1">
      <c r="A51" s="8">
        <v>49</v>
      </c>
      <c r="B51" s="178"/>
      <c r="C51" s="1" t="s">
        <v>573</v>
      </c>
      <c r="D51" s="1"/>
      <c r="E51" s="1"/>
      <c r="F51" s="1"/>
      <c r="G51" s="16" t="s">
        <v>508</v>
      </c>
      <c r="H51" s="1" t="s">
        <v>46</v>
      </c>
      <c r="I51" s="19">
        <v>3.4</v>
      </c>
      <c r="J51" s="19" t="s">
        <v>73</v>
      </c>
      <c r="K51" s="19">
        <v>2.4</v>
      </c>
      <c r="L51" s="19" t="str">
        <f>K29</f>
        <v>G</v>
      </c>
      <c r="M51" s="19" t="s">
        <v>71</v>
      </c>
      <c r="N51" s="19" t="str">
        <f>E35</f>
        <v>Gl</v>
      </c>
      <c r="O51" s="1" t="s">
        <v>574</v>
      </c>
      <c r="P51" s="19">
        <v>2.5</v>
      </c>
      <c r="Q51" s="19" t="s">
        <v>46</v>
      </c>
      <c r="R51" s="266">
        <f>MIN(I51-K51*K30/E36,P51)</f>
        <v>2.5</v>
      </c>
      <c r="S51" s="266"/>
      <c r="T51" s="1"/>
      <c r="U51" s="179"/>
    </row>
    <row r="52" spans="1:21" ht="11.25" customHeight="1">
      <c r="A52" s="8">
        <v>50</v>
      </c>
      <c r="B52" s="178"/>
      <c r="C52" s="1" t="s">
        <v>575</v>
      </c>
      <c r="D52" s="1"/>
      <c r="E52" s="1"/>
      <c r="F52" s="1"/>
      <c r="G52" s="1"/>
      <c r="J52" s="1"/>
      <c r="N52" s="1" t="s">
        <v>576</v>
      </c>
      <c r="O52" s="1"/>
      <c r="P52" s="9" t="s">
        <v>509</v>
      </c>
      <c r="Q52" s="19" t="s">
        <v>46</v>
      </c>
      <c r="R52" s="269">
        <v>0.3</v>
      </c>
      <c r="S52" s="269"/>
      <c r="T52" s="1"/>
      <c r="U52" s="179"/>
    </row>
    <row r="53" spans="1:21" ht="11.25" customHeight="1">
      <c r="A53" s="8">
        <v>51</v>
      </c>
      <c r="B53" s="178"/>
      <c r="C53" s="1"/>
      <c r="D53" s="9" t="s">
        <v>642</v>
      </c>
      <c r="E53" s="1" t="s">
        <v>46</v>
      </c>
      <c r="F53" s="19" t="str">
        <f>K29</f>
        <v>G</v>
      </c>
      <c r="G53" s="239" t="str">
        <f>G51&amp;" "&amp;P52&amp;" "&amp;F12&amp;" / "&amp;H16</f>
        <v>Z C P / Sc</v>
      </c>
      <c r="H53" s="239"/>
      <c r="I53" s="19" t="s">
        <v>55</v>
      </c>
      <c r="J53" s="239" t="str">
        <f>"6"&amp;" "&amp;J49&amp;" "&amp;K26&amp;" / "&amp;H16&amp;" "&amp;F34&amp;" "&amp;F53&amp;"^2"</f>
        <v>6 W hg / Sc Bs G^2</v>
      </c>
      <c r="K53" s="239"/>
      <c r="L53" s="239"/>
      <c r="M53" s="19" t="s">
        <v>55</v>
      </c>
      <c r="N53" s="19" t="str">
        <f>IF(M34&gt;R13,M33,Q13)</f>
        <v>dgv</v>
      </c>
      <c r="O53" s="1"/>
      <c r="P53" s="1"/>
      <c r="Q53" s="19" t="s">
        <v>46</v>
      </c>
      <c r="R53" s="268">
        <f>K30*(R51*R52*G12/H17+6*R49*K27/(H17*F35*K30^2))^0.5+IF(M34&gt;R13,M34,R13)</f>
        <v>51.512930156099756</v>
      </c>
      <c r="S53" s="268"/>
      <c r="T53" s="1" t="s">
        <v>93</v>
      </c>
      <c r="U53" s="189" t="str">
        <f>IF(L17&gt;=R53,"OK !","X !")</f>
        <v>X !</v>
      </c>
    </row>
    <row r="54" spans="1:21" ht="11.25" customHeight="1">
      <c r="A54" s="8">
        <v>52</v>
      </c>
      <c r="B54" s="178"/>
      <c r="C54" s="52" t="str">
        <f>W14&amp;" Design"</f>
        <v>Header Flange Design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91">
        <f>IF(F16="Removable Cover","","Not applicable for "&amp;F16)</f>
      </c>
    </row>
    <row r="55" spans="1:21" ht="11.25" customHeight="1">
      <c r="A55" s="8">
        <v>53</v>
      </c>
      <c r="B55" s="178"/>
      <c r="C55" s="1" t="s">
        <v>577</v>
      </c>
      <c r="D55" s="1"/>
      <c r="E55" s="1"/>
      <c r="F55" s="1"/>
      <c r="G55" s="1"/>
      <c r="H55" s="1"/>
      <c r="I55" s="1"/>
      <c r="J55" s="1"/>
      <c r="K55" s="1"/>
      <c r="L55" s="9" t="s">
        <v>234</v>
      </c>
      <c r="M55" s="1" t="s">
        <v>46</v>
      </c>
      <c r="N55" s="19" t="str">
        <f>J49</f>
        <v>W</v>
      </c>
      <c r="O55" s="19" t="s">
        <v>18</v>
      </c>
      <c r="P55" s="19" t="str">
        <f>S27</f>
        <v>X</v>
      </c>
      <c r="Q55" s="19" t="s">
        <v>46</v>
      </c>
      <c r="R55" s="264">
        <f>R49*S28</f>
        <v>6050894.600791543</v>
      </c>
      <c r="S55" s="264"/>
      <c r="T55" s="1" t="str">
        <f>T35&amp;".mm"</f>
        <v>kg/cm2.mm</v>
      </c>
      <c r="U55" s="179"/>
    </row>
    <row r="56" spans="1:21" ht="11.25" customHeight="1">
      <c r="A56" s="8">
        <v>54</v>
      </c>
      <c r="B56" s="178"/>
      <c r="C56" s="1" t="s">
        <v>578</v>
      </c>
      <c r="D56" s="1"/>
      <c r="E56" s="1"/>
      <c r="F56" s="1"/>
      <c r="G56" s="1"/>
      <c r="H56" s="1"/>
      <c r="I56" s="1"/>
      <c r="J56" s="1"/>
      <c r="K56" s="1"/>
      <c r="L56" s="1"/>
      <c r="M56" s="1" t="s">
        <v>579</v>
      </c>
      <c r="N56" s="1"/>
      <c r="O56" s="1"/>
      <c r="P56" s="9" t="s">
        <v>232</v>
      </c>
      <c r="Q56" s="19" t="s">
        <v>46</v>
      </c>
      <c r="R56" s="269">
        <v>0.85</v>
      </c>
      <c r="S56" s="269"/>
      <c r="T56" s="1"/>
      <c r="U56" s="179"/>
    </row>
    <row r="57" spans="1:21" ht="11.25" customHeight="1">
      <c r="A57" s="8">
        <v>55</v>
      </c>
      <c r="B57" s="178"/>
      <c r="C57" s="1"/>
      <c r="D57" s="9" t="s">
        <v>643</v>
      </c>
      <c r="E57" s="1" t="s">
        <v>46</v>
      </c>
      <c r="F57" s="1" t="str">
        <f>"2  "&amp;T26&amp;"  "&amp;P30&amp;"^3  /  12   +   2  "&amp;P30&amp;"  "&amp;T26&amp;"  (  "&amp;P30&amp;"  / 2  +  "&amp;Q30&amp;"  /  2  )^2"</f>
        <v>2  wf  b1^3  /  12   +   2  b1  wf  (  b1  / 2  +  b2  /  2  )^2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9" t="s">
        <v>46</v>
      </c>
      <c r="R57" s="264">
        <f>2*T27*P31^3/12+2*P31*T27*(P31/2+Q31/2)^2</f>
        <v>174781.7901234568</v>
      </c>
      <c r="S57" s="264"/>
      <c r="T57" s="1" t="s">
        <v>580</v>
      </c>
      <c r="U57" s="179"/>
    </row>
    <row r="58" spans="1:21" ht="11.25" customHeight="1">
      <c r="A58" s="8">
        <v>56</v>
      </c>
      <c r="B58" s="178"/>
      <c r="C58" s="1" t="s">
        <v>581</v>
      </c>
      <c r="D58" s="1"/>
      <c r="E58" s="1"/>
      <c r="F58" s="1"/>
      <c r="G58" s="1"/>
      <c r="H58" s="1"/>
      <c r="I58" s="1"/>
      <c r="J58" s="1"/>
      <c r="K58" s="1"/>
      <c r="L58" s="1"/>
      <c r="M58" s="9" t="s">
        <v>120</v>
      </c>
      <c r="N58" s="1" t="s">
        <v>46</v>
      </c>
      <c r="O58" s="1" t="str">
        <f>"2 "&amp;D57&amp;" / "&amp;Q23</f>
        <v>2 I / tf</v>
      </c>
      <c r="P58" s="1"/>
      <c r="Q58" s="19" t="s">
        <v>46</v>
      </c>
      <c r="R58" s="264">
        <f>2*R57/Q24</f>
        <v>9987.530864197532</v>
      </c>
      <c r="S58" s="264"/>
      <c r="T58" s="1" t="s">
        <v>582</v>
      </c>
      <c r="U58" s="179"/>
    </row>
    <row r="59" spans="1:21" ht="11.25" customHeight="1">
      <c r="A59" s="8">
        <v>57</v>
      </c>
      <c r="B59" s="178"/>
      <c r="C59" s="1" t="s">
        <v>583</v>
      </c>
      <c r="D59" s="1"/>
      <c r="E59" s="1"/>
      <c r="F59" s="1"/>
      <c r="G59" s="1"/>
      <c r="H59" s="1"/>
      <c r="I59" s="1"/>
      <c r="J59" s="1"/>
      <c r="K59" s="1"/>
      <c r="L59" s="1"/>
      <c r="M59" s="9" t="s">
        <v>644</v>
      </c>
      <c r="N59" s="1" t="s">
        <v>46</v>
      </c>
      <c r="O59" s="6" t="str">
        <f>"2 "&amp;P30&amp;" "&amp;T26</f>
        <v>2 b1 wf</v>
      </c>
      <c r="P59" s="1"/>
      <c r="Q59" s="19" t="s">
        <v>46</v>
      </c>
      <c r="R59" s="264">
        <f>2*P31*T27</f>
        <v>1185.3333333333333</v>
      </c>
      <c r="S59" s="264"/>
      <c r="T59" s="1" t="s">
        <v>584</v>
      </c>
      <c r="U59" s="179"/>
    </row>
    <row r="60" spans="1:21" ht="11.25" customHeight="1">
      <c r="A60" s="8">
        <v>58</v>
      </c>
      <c r="B60" s="178"/>
      <c r="C60" s="1" t="s">
        <v>585</v>
      </c>
      <c r="D60" s="1"/>
      <c r="E60" s="1"/>
      <c r="F60" s="1"/>
      <c r="G60" s="1"/>
      <c r="H60" s="1"/>
      <c r="I60" s="1"/>
      <c r="J60" s="1"/>
      <c r="K60" s="9" t="s">
        <v>645</v>
      </c>
      <c r="L60" s="1" t="s">
        <v>46</v>
      </c>
      <c r="M60" s="19" t="str">
        <f>L55</f>
        <v>M</v>
      </c>
      <c r="N60" s="19" t="s">
        <v>570</v>
      </c>
      <c r="O60" s="19" t="str">
        <f>M58</f>
        <v>Sm</v>
      </c>
      <c r="P60" s="19" t="s">
        <v>586</v>
      </c>
      <c r="Q60" s="19" t="s">
        <v>46</v>
      </c>
      <c r="R60" s="264">
        <f>R55/(R58*R56)</f>
        <v>712.7587015386869</v>
      </c>
      <c r="S60" s="264"/>
      <c r="T60" s="1" t="str">
        <f>upsx(J12)</f>
        <v>kg/cm2</v>
      </c>
      <c r="U60" s="179"/>
    </row>
    <row r="61" spans="1:21" ht="11.25" customHeight="1">
      <c r="A61" s="8">
        <v>59</v>
      </c>
      <c r="B61" s="178"/>
      <c r="C61" s="1" t="s">
        <v>646</v>
      </c>
      <c r="D61" s="1"/>
      <c r="E61" s="1"/>
      <c r="F61" s="1"/>
      <c r="G61" s="1"/>
      <c r="H61" s="1"/>
      <c r="I61" s="1"/>
      <c r="J61" s="1"/>
      <c r="K61" s="9" t="s">
        <v>647</v>
      </c>
      <c r="L61" s="1" t="s">
        <v>46</v>
      </c>
      <c r="M61" s="19" t="str">
        <f>J49</f>
        <v>W</v>
      </c>
      <c r="N61" s="19" t="str">
        <f>N60</f>
        <v>/   (</v>
      </c>
      <c r="O61" s="19" t="str">
        <f>M59</f>
        <v>A</v>
      </c>
      <c r="P61" s="19" t="str">
        <f>P60</f>
        <v>E   )</v>
      </c>
      <c r="Q61" s="19" t="s">
        <v>46</v>
      </c>
      <c r="R61" s="264">
        <f>R49/(R59*R56)</f>
        <v>280.22873244557</v>
      </c>
      <c r="S61" s="264"/>
      <c r="T61" s="1" t="str">
        <f>T60</f>
        <v>kg/cm2</v>
      </c>
      <c r="U61" s="179"/>
    </row>
    <row r="62" spans="1:21" ht="11.25" customHeight="1">
      <c r="A62" s="19">
        <v>60</v>
      </c>
      <c r="B62" s="178"/>
      <c r="C62" s="1" t="s">
        <v>587</v>
      </c>
      <c r="D62" s="1"/>
      <c r="E62" s="1"/>
      <c r="F62" s="1"/>
      <c r="G62" s="1"/>
      <c r="H62" s="1"/>
      <c r="I62" s="1"/>
      <c r="J62" s="1"/>
      <c r="K62" s="9" t="s">
        <v>648</v>
      </c>
      <c r="L62" s="1" t="s">
        <v>46</v>
      </c>
      <c r="M62" s="19" t="str">
        <f>K60</f>
        <v>Fb</v>
      </c>
      <c r="N62" s="19" t="s">
        <v>55</v>
      </c>
      <c r="O62" s="19" t="str">
        <f>K61</f>
        <v>Fd</v>
      </c>
      <c r="P62" s="1"/>
      <c r="Q62" s="19" t="s">
        <v>46</v>
      </c>
      <c r="R62" s="270">
        <f>R60+R61</f>
        <v>992.9874339842569</v>
      </c>
      <c r="S62" s="270"/>
      <c r="T62" s="1" t="str">
        <f>T60</f>
        <v>kg/cm2</v>
      </c>
      <c r="U62" s="179"/>
    </row>
    <row r="63" spans="1:21" ht="11.25" customHeight="1">
      <c r="A63" s="19">
        <v>61</v>
      </c>
      <c r="B63" s="178"/>
      <c r="C63" s="1" t="s">
        <v>588</v>
      </c>
      <c r="D63" s="1"/>
      <c r="E63" s="1"/>
      <c r="F63" s="1"/>
      <c r="G63" s="1"/>
      <c r="H63" s="1"/>
      <c r="I63" s="1"/>
      <c r="J63" s="1"/>
      <c r="K63" s="9" t="str">
        <f>R18</f>
        <v>Sf</v>
      </c>
      <c r="L63" s="1" t="s">
        <v>46</v>
      </c>
      <c r="M63" s="1"/>
      <c r="N63" s="1"/>
      <c r="O63" s="1"/>
      <c r="P63" s="1"/>
      <c r="Q63" s="19" t="s">
        <v>46</v>
      </c>
      <c r="R63" s="242">
        <f>S18</f>
        <v>1040.1105372374868</v>
      </c>
      <c r="S63" s="242"/>
      <c r="T63" s="1"/>
      <c r="U63" s="189" t="str">
        <f>IF(R63&gt;=R62,"OK !","X !")</f>
        <v>OK !</v>
      </c>
    </row>
    <row r="64" spans="1:21" ht="11.25" customHeight="1">
      <c r="A64" s="19">
        <v>62</v>
      </c>
      <c r="B64" s="192" t="s">
        <v>649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193">
        <f>IF(F16&lt;&gt;"Plug Header","","Not applicable for "&amp;F16)</f>
      </c>
    </row>
    <row r="65" spans="1:21" ht="11.25" customHeight="1">
      <c r="A65" s="19">
        <v>63</v>
      </c>
      <c r="B65" s="194" t="s">
        <v>650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63"/>
    </row>
    <row r="66" spans="1:21" ht="11.25" customHeight="1">
      <c r="A66" s="19">
        <v>64</v>
      </c>
      <c r="B66" s="194" t="s">
        <v>589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63"/>
    </row>
    <row r="67" spans="1:21" ht="11.25" customHeight="1">
      <c r="A67" s="19">
        <v>65</v>
      </c>
      <c r="B67" s="195" t="s">
        <v>651</v>
      </c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143"/>
    </row>
    <row r="68" spans="1:21" ht="11.25" customHeight="1">
      <c r="A68" s="8"/>
      <c r="B68" s="24" t="s">
        <v>17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90" t="s">
        <v>653</v>
      </c>
    </row>
    <row r="69" ht="11.25" customHeight="1">
      <c r="A69" s="8"/>
    </row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</sheetData>
  <mergeCells count="103">
    <mergeCell ref="R61:S61"/>
    <mergeCell ref="R62:S62"/>
    <mergeCell ref="S18:T18"/>
    <mergeCell ref="B15:C16"/>
    <mergeCell ref="R58:S58"/>
    <mergeCell ref="R59:S59"/>
    <mergeCell ref="R56:S56"/>
    <mergeCell ref="R60:S60"/>
    <mergeCell ref="G53:H53"/>
    <mergeCell ref="J53:L53"/>
    <mergeCell ref="R45:S45"/>
    <mergeCell ref="R46:S46"/>
    <mergeCell ref="R55:S55"/>
    <mergeCell ref="R57:S57"/>
    <mergeCell ref="R53:S53"/>
    <mergeCell ref="R52:S52"/>
    <mergeCell ref="R47:S47"/>
    <mergeCell ref="R48:S48"/>
    <mergeCell ref="R49:S49"/>
    <mergeCell ref="R51:S51"/>
    <mergeCell ref="R42:S42"/>
    <mergeCell ref="R44:S44"/>
    <mergeCell ref="R39:S39"/>
    <mergeCell ref="R40:S40"/>
    <mergeCell ref="F34:G34"/>
    <mergeCell ref="F35:G35"/>
    <mergeCell ref="B21:U21"/>
    <mergeCell ref="N16:O16"/>
    <mergeCell ref="N17:O17"/>
    <mergeCell ref="N18:O18"/>
    <mergeCell ref="N19:O19"/>
    <mergeCell ref="L17:M17"/>
    <mergeCell ref="L18:M18"/>
    <mergeCell ref="L19:M19"/>
    <mergeCell ref="AS27:AT27"/>
    <mergeCell ref="AK27:AL27"/>
    <mergeCell ref="AM27:AN27"/>
    <mergeCell ref="R6:U6"/>
    <mergeCell ref="R7:U7"/>
    <mergeCell ref="AA26:AB26"/>
    <mergeCell ref="AC26:AD26"/>
    <mergeCell ref="AO27:AP27"/>
    <mergeCell ref="AQ27:AR27"/>
    <mergeCell ref="AS26:AT26"/>
    <mergeCell ref="AI26:AJ26"/>
    <mergeCell ref="AK26:AL26"/>
    <mergeCell ref="AC41:AD41"/>
    <mergeCell ref="AA30:AC30"/>
    <mergeCell ref="AG27:AH27"/>
    <mergeCell ref="AI27:AJ27"/>
    <mergeCell ref="AA27:AB27"/>
    <mergeCell ref="AC27:AD27"/>
    <mergeCell ref="AE27:AF27"/>
    <mergeCell ref="AG26:AH26"/>
    <mergeCell ref="AM26:AN26"/>
    <mergeCell ref="AO26:AP26"/>
    <mergeCell ref="AQ26:AR26"/>
    <mergeCell ref="AM25:AN25"/>
    <mergeCell ref="AO25:AP25"/>
    <mergeCell ref="AQ25:AR25"/>
    <mergeCell ref="R12:S12"/>
    <mergeCell ref="R11:S11"/>
    <mergeCell ref="R13:S13"/>
    <mergeCell ref="AS25:AT25"/>
    <mergeCell ref="AA25:AB25"/>
    <mergeCell ref="AC25:AD25"/>
    <mergeCell ref="AE25:AF25"/>
    <mergeCell ref="AG25:AH25"/>
    <mergeCell ref="AI25:AJ25"/>
    <mergeCell ref="AK25:AL25"/>
    <mergeCell ref="B1:U2"/>
    <mergeCell ref="R3:U3"/>
    <mergeCell ref="R4:U4"/>
    <mergeCell ref="R5:U5"/>
    <mergeCell ref="R63:S63"/>
    <mergeCell ref="AA10:AB10"/>
    <mergeCell ref="AA8:AB8"/>
    <mergeCell ref="AA9:AB9"/>
    <mergeCell ref="X30:Y30"/>
    <mergeCell ref="B10:U10"/>
    <mergeCell ref="G12:I12"/>
    <mergeCell ref="G13:I13"/>
    <mergeCell ref="L16:M16"/>
    <mergeCell ref="L15:M15"/>
    <mergeCell ref="AG23:AH23"/>
    <mergeCell ref="W26:X26"/>
    <mergeCell ref="Y26:Z26"/>
    <mergeCell ref="Y25:Z25"/>
    <mergeCell ref="AE26:AF26"/>
    <mergeCell ref="B14:U14"/>
    <mergeCell ref="AG8:AH8"/>
    <mergeCell ref="AG9:AH9"/>
    <mergeCell ref="AG22:AH22"/>
    <mergeCell ref="AA12:AB12"/>
    <mergeCell ref="S9:T9"/>
    <mergeCell ref="N15:O15"/>
    <mergeCell ref="L20:M20"/>
    <mergeCell ref="AC12:AD12"/>
    <mergeCell ref="AE12:AF12"/>
    <mergeCell ref="F18:G18"/>
    <mergeCell ref="F19:G19"/>
    <mergeCell ref="F20:G20"/>
    <mergeCell ref="Y27:Z27"/>
  </mergeCells>
  <printOptions/>
  <pageMargins left="0.6692913385826772" right="0" top="0.7874015748031497" bottom="0.3937007874015748" header="0.31496062992125984" footer="0.31496062992125984"/>
  <pageSetup horizontalDpi="1200" verticalDpi="1200" orientation="portrait" paperSize="9" scale="93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Z90"/>
  <sheetViews>
    <sheetView view="pageBreakPreview" zoomScaleSheetLayoutView="100" workbookViewId="0" topLeftCell="A1">
      <selection activeCell="X6" sqref="X6"/>
    </sheetView>
  </sheetViews>
  <sheetFormatPr defaultColWidth="8.88671875" defaultRowHeight="13.5"/>
  <cols>
    <col min="1" max="63" width="2.3359375" style="2" customWidth="1"/>
    <col min="64" max="16384" width="8.88671875" style="2" customWidth="1"/>
  </cols>
  <sheetData>
    <row r="1" spans="1:34" ht="9.75" customHeight="1">
      <c r="A1" s="55"/>
      <c r="B1" s="138" t="s">
        <v>440</v>
      </c>
      <c r="C1" s="133"/>
      <c r="D1" s="133"/>
      <c r="E1" s="133"/>
      <c r="F1" s="133"/>
      <c r="G1" s="133"/>
      <c r="H1" s="133" t="s">
        <v>426</v>
      </c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4"/>
      <c r="Z1" s="56" t="s">
        <v>422</v>
      </c>
      <c r="AA1" s="41"/>
      <c r="AB1" s="41"/>
      <c r="AC1" s="131"/>
      <c r="AD1" s="330" t="s">
        <v>256</v>
      </c>
      <c r="AE1" s="255"/>
      <c r="AF1" s="255"/>
      <c r="AG1" s="255"/>
      <c r="AH1" s="255"/>
    </row>
    <row r="2" spans="1:34" ht="9.75" customHeight="1">
      <c r="A2" s="307" t="s">
        <v>427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8"/>
      <c r="Z2" s="62" t="s">
        <v>423</v>
      </c>
      <c r="AA2" s="37"/>
      <c r="AB2" s="37"/>
      <c r="AC2" s="132"/>
      <c r="AD2" s="329" t="s">
        <v>428</v>
      </c>
      <c r="AE2" s="244"/>
      <c r="AF2" s="244"/>
      <c r="AG2" s="244"/>
      <c r="AH2" s="244"/>
    </row>
    <row r="3" spans="1:34" ht="9.75" customHeight="1">
      <c r="A3" s="307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8"/>
      <c r="Z3" s="62" t="s">
        <v>424</v>
      </c>
      <c r="AA3" s="37"/>
      <c r="AB3" s="37"/>
      <c r="AC3" s="132"/>
      <c r="AD3" s="329">
        <v>0</v>
      </c>
      <c r="AE3" s="244"/>
      <c r="AF3" s="244"/>
      <c r="AG3" s="244"/>
      <c r="AH3" s="244"/>
    </row>
    <row r="4" spans="1:34" ht="9.75" customHeight="1">
      <c r="A4" s="309"/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10"/>
      <c r="Z4" s="78" t="s">
        <v>425</v>
      </c>
      <c r="AA4" s="51"/>
      <c r="AB4" s="85"/>
      <c r="AC4" s="51"/>
      <c r="AD4" s="331">
        <v>1</v>
      </c>
      <c r="AE4" s="204"/>
      <c r="AF4" s="73" t="s">
        <v>13</v>
      </c>
      <c r="AG4" s="204" t="s">
        <v>18</v>
      </c>
      <c r="AH4" s="204"/>
    </row>
    <row r="5" spans="1:3" ht="9.75" customHeight="1">
      <c r="A5" s="6"/>
      <c r="B5" s="6"/>
      <c r="C5" s="6"/>
    </row>
    <row r="6" spans="1:34" ht="9.75" customHeight="1">
      <c r="A6" s="6"/>
      <c r="B6" s="6" t="s">
        <v>3</v>
      </c>
      <c r="C6" s="6"/>
      <c r="D6" s="6"/>
      <c r="E6" s="7" t="str">
        <f>project</f>
        <v>Later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5"/>
      <c r="U6" s="5"/>
      <c r="V6" s="5"/>
      <c r="Y6" s="6"/>
      <c r="AH6" s="4"/>
    </row>
    <row r="7" spans="1:34" ht="9.75" customHeight="1">
      <c r="A7" s="6"/>
      <c r="B7" s="6" t="s">
        <v>4</v>
      </c>
      <c r="C7" s="6"/>
      <c r="D7" s="6"/>
      <c r="E7" s="7" t="str">
        <f>itemno</f>
        <v>H - 100</v>
      </c>
      <c r="F7" s="6"/>
      <c r="G7" s="6"/>
      <c r="H7" s="6"/>
      <c r="I7" s="6"/>
      <c r="J7" s="6"/>
      <c r="K7" s="6"/>
      <c r="L7" s="6"/>
      <c r="Q7" s="6"/>
      <c r="R7" s="6"/>
      <c r="S7" s="6"/>
      <c r="Y7" s="6"/>
      <c r="AH7" s="3"/>
    </row>
    <row r="8" spans="1:29" ht="9.75" customHeight="1">
      <c r="A8" s="6"/>
      <c r="B8" s="6" t="s">
        <v>5</v>
      </c>
      <c r="C8" s="6"/>
      <c r="D8" s="6"/>
      <c r="E8" s="7" t="str">
        <f>service</f>
        <v>Air Cooled Heat Exchanger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19" ht="9.75" customHeight="1">
      <c r="A9" s="6"/>
      <c r="B9" s="6"/>
      <c r="C9" s="6"/>
      <c r="Q9" s="6"/>
      <c r="R9" s="6"/>
      <c r="S9" s="6"/>
    </row>
    <row r="10" spans="1:29" ht="9.75" customHeight="1">
      <c r="A10" s="6"/>
      <c r="B10" s="6"/>
      <c r="C10" s="6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34" ht="9.75" customHeight="1">
      <c r="A11" s="6"/>
      <c r="B11" s="6"/>
      <c r="C11" s="12" t="s">
        <v>212</v>
      </c>
      <c r="D11" s="9" t="s">
        <v>215</v>
      </c>
      <c r="E11" s="6"/>
      <c r="F11" s="6"/>
      <c r="G11" s="6"/>
      <c r="H11" s="6"/>
      <c r="I11" s="6"/>
      <c r="J11" s="6" t="s">
        <v>213</v>
      </c>
      <c r="K11" s="6" t="s">
        <v>214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1"/>
      <c r="AA11" s="1"/>
      <c r="AB11" s="1"/>
      <c r="AC11" s="1"/>
      <c r="AH11" s="127"/>
    </row>
    <row r="12" spans="1:29" ht="9.75" customHeight="1">
      <c r="A12" s="1"/>
      <c r="B12" s="1"/>
      <c r="C12" s="1"/>
      <c r="D12" s="9" t="s">
        <v>216</v>
      </c>
      <c r="E12" s="1"/>
      <c r="F12" s="1"/>
      <c r="G12" s="1"/>
      <c r="H12" s="1"/>
      <c r="I12" s="1"/>
      <c r="J12" s="1" t="s">
        <v>213</v>
      </c>
      <c r="K12" s="9" t="s">
        <v>218</v>
      </c>
      <c r="L12" s="1"/>
      <c r="M12" s="1"/>
      <c r="N12" s="1"/>
      <c r="O12" s="1"/>
      <c r="P12" s="1"/>
      <c r="Q12" s="1"/>
      <c r="R12" s="1"/>
      <c r="S12" s="19" t="s">
        <v>217</v>
      </c>
      <c r="T12" s="147">
        <v>4</v>
      </c>
      <c r="U12" s="1"/>
      <c r="AC12" s="3"/>
    </row>
    <row r="13" spans="1:27" ht="9.75" customHeight="1">
      <c r="A13" s="6"/>
      <c r="B13" s="6"/>
      <c r="C13" s="6"/>
      <c r="K13" s="2" t="str">
        <f>"The equations are conservatively applicable to vessels of ratio less than "&amp;T12&amp;"."</f>
        <v>The equations are conservatively applicable to vessels of ratio less than 4.</v>
      </c>
      <c r="Q13" s="6"/>
      <c r="Z13" s="6"/>
      <c r="AA13" s="6"/>
    </row>
    <row r="14" spans="1:3" ht="9.75" customHeight="1">
      <c r="A14" s="1"/>
      <c r="B14" s="1"/>
      <c r="C14" s="1"/>
    </row>
    <row r="15" spans="1:29" ht="9.75" customHeight="1">
      <c r="A15" s="6"/>
      <c r="B15" s="6"/>
      <c r="C15" s="12" t="s">
        <v>1</v>
      </c>
      <c r="D15" s="9" t="s">
        <v>21</v>
      </c>
      <c r="E15" s="6"/>
      <c r="F15" s="6"/>
      <c r="G15" s="6"/>
      <c r="H15" s="6"/>
      <c r="I15" s="6"/>
      <c r="J15" s="6"/>
      <c r="K15" s="6"/>
      <c r="L15" s="6"/>
      <c r="N15" s="6"/>
      <c r="O15" s="6"/>
      <c r="P15" s="6"/>
      <c r="Q15" s="6"/>
      <c r="Z15" s="3"/>
      <c r="AA15" s="3"/>
      <c r="AB15" s="3"/>
      <c r="AC15" s="3"/>
    </row>
    <row r="16" spans="1:17" ht="9.75" customHeight="1">
      <c r="A16" s="1"/>
      <c r="B16" s="1"/>
      <c r="E16" s="1"/>
      <c r="F16" s="1"/>
      <c r="G16" s="1"/>
      <c r="H16" s="1"/>
      <c r="I16" s="1"/>
      <c r="J16" s="1"/>
      <c r="K16" s="1"/>
      <c r="L16" s="1"/>
      <c r="N16" s="1"/>
      <c r="O16" s="1"/>
      <c r="P16" s="1"/>
      <c r="Q16" s="1"/>
    </row>
    <row r="17" spans="1:45" ht="9.75" customHeight="1">
      <c r="A17" s="6"/>
      <c r="B17" s="6"/>
      <c r="C17" s="6"/>
      <c r="D17" s="41" t="s">
        <v>42</v>
      </c>
      <c r="E17" s="41"/>
      <c r="F17" s="41"/>
      <c r="G17" s="41"/>
      <c r="H17" s="41"/>
      <c r="I17" s="41"/>
      <c r="J17" s="41"/>
      <c r="K17" s="276">
        <f>tdp</f>
        <v>10</v>
      </c>
      <c r="L17" s="276"/>
      <c r="M17" s="276"/>
      <c r="N17" s="41" t="str">
        <f>tups</f>
        <v>kg/cm2.g</v>
      </c>
      <c r="O17" s="41"/>
      <c r="P17" s="41"/>
      <c r="Q17" s="6"/>
      <c r="R17" s="278" t="s">
        <v>468</v>
      </c>
      <c r="S17" s="278"/>
      <c r="T17" s="278"/>
      <c r="U17" s="278"/>
      <c r="V17" s="278"/>
      <c r="W17" s="278"/>
      <c r="X17" s="278"/>
      <c r="Y17" s="278"/>
      <c r="Z17" s="278"/>
      <c r="AA17" s="278"/>
      <c r="AL17" s="334" t="s">
        <v>166</v>
      </c>
      <c r="AM17" s="346"/>
      <c r="AN17" s="346"/>
      <c r="AO17" s="346"/>
      <c r="AP17" s="346"/>
      <c r="AQ17" s="346"/>
      <c r="AR17" s="346"/>
      <c r="AS17" s="347"/>
    </row>
    <row r="18" spans="1:45" ht="9.75" customHeight="1">
      <c r="A18" s="6"/>
      <c r="B18" s="6"/>
      <c r="C18" s="6"/>
      <c r="D18" s="37" t="s">
        <v>43</v>
      </c>
      <c r="E18" s="37"/>
      <c r="F18" s="37"/>
      <c r="G18" s="37"/>
      <c r="H18" s="37"/>
      <c r="I18" s="37"/>
      <c r="J18" s="37"/>
      <c r="K18" s="263">
        <f>tdt</f>
        <v>100</v>
      </c>
      <c r="L18" s="263"/>
      <c r="M18" s="263"/>
      <c r="N18" s="36" t="str">
        <f>tutemp</f>
        <v>℃</v>
      </c>
      <c r="O18" s="37"/>
      <c r="P18" s="37"/>
      <c r="Q18" s="6"/>
      <c r="R18" s="42" t="s">
        <v>494</v>
      </c>
      <c r="S18" s="42"/>
      <c r="T18" s="42"/>
      <c r="U18" s="276">
        <f>tubeod</f>
        <v>25.4</v>
      </c>
      <c r="V18" s="276"/>
      <c r="W18" s="42"/>
      <c r="X18" s="237" t="s">
        <v>496</v>
      </c>
      <c r="Y18" s="237"/>
      <c r="Z18" s="277" t="s">
        <v>497</v>
      </c>
      <c r="AA18" s="277"/>
      <c r="AL18" s="56" t="s">
        <v>181</v>
      </c>
      <c r="AM18" s="41"/>
      <c r="AN18" s="43" t="s">
        <v>160</v>
      </c>
      <c r="AO18" s="41" t="s">
        <v>91</v>
      </c>
      <c r="AP18" s="42"/>
      <c r="AQ18" s="42"/>
      <c r="AR18" s="42"/>
      <c r="AS18" s="57"/>
    </row>
    <row r="19" spans="1:49" ht="9.75" customHeight="1">
      <c r="A19" s="6"/>
      <c r="B19" s="6"/>
      <c r="C19" s="6"/>
      <c r="D19" s="36" t="s">
        <v>208</v>
      </c>
      <c r="E19" s="36"/>
      <c r="F19" s="36"/>
      <c r="G19" s="36"/>
      <c r="H19" s="36"/>
      <c r="I19" s="254" t="s">
        <v>475</v>
      </c>
      <c r="J19" s="254"/>
      <c r="K19" s="254" t="s">
        <v>209</v>
      </c>
      <c r="L19" s="254"/>
      <c r="M19" s="263" t="s">
        <v>476</v>
      </c>
      <c r="N19" s="263"/>
      <c r="O19" s="263" t="s">
        <v>210</v>
      </c>
      <c r="P19" s="263"/>
      <c r="Q19" s="6"/>
      <c r="R19" s="53" t="s">
        <v>495</v>
      </c>
      <c r="S19" s="53"/>
      <c r="T19" s="53"/>
      <c r="U19" s="53"/>
      <c r="V19" s="53" t="s">
        <v>168</v>
      </c>
      <c r="W19" s="53" t="s">
        <v>46</v>
      </c>
      <c r="X19" s="289" t="str">
        <f>IF(V23&lt;&gt;"Plug Header","***",U18+3)</f>
        <v>***</v>
      </c>
      <c r="Y19" s="289"/>
      <c r="Z19" s="289">
        <f>U18+1</f>
        <v>26.4</v>
      </c>
      <c r="AA19" s="289"/>
      <c r="AC19" s="277" t="str">
        <f>V20&amp;" / OD"</f>
        <v>p / OD</v>
      </c>
      <c r="AD19" s="277"/>
      <c r="AL19" s="62" t="s">
        <v>182</v>
      </c>
      <c r="AM19" s="36"/>
      <c r="AN19" s="38" t="s">
        <v>160</v>
      </c>
      <c r="AO19" s="36" t="s">
        <v>430</v>
      </c>
      <c r="AP19" s="36"/>
      <c r="AQ19" s="36"/>
      <c r="AR19" s="36"/>
      <c r="AS19" s="63"/>
      <c r="AV19" s="254" t="s">
        <v>211</v>
      </c>
      <c r="AW19" s="254"/>
    </row>
    <row r="20" spans="1:49" ht="9.75" customHeight="1">
      <c r="A20" s="1"/>
      <c r="B20" s="1"/>
      <c r="C20" s="1"/>
      <c r="D20" s="36" t="s">
        <v>174</v>
      </c>
      <c r="E20" s="36"/>
      <c r="F20" s="36"/>
      <c r="G20" s="36"/>
      <c r="H20" s="36"/>
      <c r="I20" s="244">
        <v>1</v>
      </c>
      <c r="J20" s="244"/>
      <c r="K20" s="244"/>
      <c r="L20" s="244"/>
      <c r="M20" s="326">
        <f>IF(V23&lt;&gt;"Plug Header",I20,X21)</f>
        <v>1</v>
      </c>
      <c r="N20" s="263"/>
      <c r="O20" s="326">
        <f>Z21</f>
        <v>0.5707317073170732</v>
      </c>
      <c r="P20" s="263"/>
      <c r="Q20" s="1"/>
      <c r="R20" s="36" t="s">
        <v>466</v>
      </c>
      <c r="S20" s="36"/>
      <c r="T20" s="36"/>
      <c r="U20" s="36"/>
      <c r="V20" s="37" t="s">
        <v>185</v>
      </c>
      <c r="W20" s="37" t="s">
        <v>46</v>
      </c>
      <c r="X20" s="263" t="str">
        <f>IF(V23&lt;&gt;"Plug Header","***",Z20)</f>
        <v>***</v>
      </c>
      <c r="Y20" s="263"/>
      <c r="Z20" s="263">
        <f>hbox_pch</f>
        <v>61.5</v>
      </c>
      <c r="AA20" s="263"/>
      <c r="AC20" s="328">
        <f>Z20/U18</f>
        <v>2.421259842519685</v>
      </c>
      <c r="AD20" s="328"/>
      <c r="AL20" s="64" t="s">
        <v>183</v>
      </c>
      <c r="AM20" s="36"/>
      <c r="AN20" s="38" t="s">
        <v>177</v>
      </c>
      <c r="AO20" s="271">
        <f>stress(AO18,"plate",AO19,K18,N18,N17,3)</f>
        <v>1406.1391592783186</v>
      </c>
      <c r="AP20" s="271"/>
      <c r="AQ20" s="271"/>
      <c r="AR20" s="36" t="str">
        <f>upsx(N17)</f>
        <v>kg/cm2</v>
      </c>
      <c r="AS20" s="63"/>
      <c r="AV20" s="327">
        <v>1</v>
      </c>
      <c r="AW20" s="327"/>
    </row>
    <row r="21" spans="1:45" ht="9.75" customHeight="1">
      <c r="A21" s="1"/>
      <c r="B21" s="1"/>
      <c r="C21" s="1"/>
      <c r="D21" s="36" t="s">
        <v>44</v>
      </c>
      <c r="E21" s="36"/>
      <c r="F21" s="36"/>
      <c r="G21" s="36"/>
      <c r="H21" s="36"/>
      <c r="I21" s="36"/>
      <c r="J21" s="36"/>
      <c r="K21" s="263">
        <f>tca</f>
        <v>3</v>
      </c>
      <c r="L21" s="263"/>
      <c r="M21" s="263"/>
      <c r="N21" s="36" t="s">
        <v>45</v>
      </c>
      <c r="O21" s="36"/>
      <c r="P21" s="36"/>
      <c r="Q21" s="1"/>
      <c r="R21" s="85" t="s">
        <v>232</v>
      </c>
      <c r="S21" s="51" t="s">
        <v>46</v>
      </c>
      <c r="T21" s="85" t="s">
        <v>467</v>
      </c>
      <c r="U21" s="85"/>
      <c r="V21" s="85"/>
      <c r="W21" s="85" t="s">
        <v>46</v>
      </c>
      <c r="X21" s="298" t="str">
        <f>IF(V23&lt;&gt;"Plug Header","***",(X20-X19)/X20)</f>
        <v>***</v>
      </c>
      <c r="Y21" s="298"/>
      <c r="Z21" s="298">
        <f>(Z20-Z19)/Z20</f>
        <v>0.5707317073170732</v>
      </c>
      <c r="AA21" s="298"/>
      <c r="AL21" s="65" t="s">
        <v>184</v>
      </c>
      <c r="AM21" s="36"/>
      <c r="AN21" s="38" t="s">
        <v>177</v>
      </c>
      <c r="AO21" s="271">
        <f>stress(AO18,"plate",AO19,K18,N18,N17,2)</f>
        <v>2671.6644026288054</v>
      </c>
      <c r="AP21" s="271"/>
      <c r="AQ21" s="271"/>
      <c r="AR21" s="36" t="str">
        <f>AR20</f>
        <v>kg/cm2</v>
      </c>
      <c r="AS21" s="63"/>
    </row>
    <row r="22" spans="1:45" ht="9.75" customHeight="1">
      <c r="A22" s="1"/>
      <c r="B22" s="1"/>
      <c r="C22" s="1"/>
      <c r="D22" s="36" t="s">
        <v>88</v>
      </c>
      <c r="E22" s="36"/>
      <c r="F22" s="36"/>
      <c r="G22" s="36"/>
      <c r="H22" s="36"/>
      <c r="I22" s="36"/>
      <c r="J22" s="36"/>
      <c r="K22" s="36" t="str">
        <f>headermcode</f>
        <v>KS</v>
      </c>
      <c r="L22" s="36"/>
      <c r="M22" s="36"/>
      <c r="N22" s="36"/>
      <c r="O22" s="36"/>
      <c r="P22" s="36"/>
      <c r="Q22" s="1"/>
      <c r="S22" s="1"/>
      <c r="T22" s="1"/>
      <c r="U22" s="1"/>
      <c r="W22" s="1"/>
      <c r="X22" s="1"/>
      <c r="Z22" s="1"/>
      <c r="AI22" s="3"/>
      <c r="AJ22" s="3"/>
      <c r="AL22" s="62" t="s">
        <v>178</v>
      </c>
      <c r="AM22" s="36"/>
      <c r="AN22" s="38" t="s">
        <v>160</v>
      </c>
      <c r="AO22" s="37" t="s">
        <v>431</v>
      </c>
      <c r="AP22" s="37"/>
      <c r="AQ22" s="36"/>
      <c r="AR22" s="36"/>
      <c r="AS22" s="63"/>
    </row>
    <row r="23" spans="1:45" ht="9.75" customHeight="1">
      <c r="A23" s="6"/>
      <c r="B23" s="6"/>
      <c r="C23" s="6"/>
      <c r="D23" s="36" t="s">
        <v>89</v>
      </c>
      <c r="E23" s="36"/>
      <c r="F23" s="36"/>
      <c r="G23" s="36"/>
      <c r="H23" s="36"/>
      <c r="I23" s="36"/>
      <c r="J23" s="36"/>
      <c r="K23" s="36" t="str">
        <f>headerm</f>
        <v>SB 410</v>
      </c>
      <c r="L23" s="36"/>
      <c r="M23" s="36"/>
      <c r="N23" s="36"/>
      <c r="O23" s="37"/>
      <c r="P23" s="37"/>
      <c r="Q23" s="1"/>
      <c r="R23" s="35" t="s">
        <v>454</v>
      </c>
      <c r="V23" s="9" t="str">
        <f>headertype</f>
        <v>Removable Cover</v>
      </c>
      <c r="Z23" s="1"/>
      <c r="AL23" s="58" t="s">
        <v>179</v>
      </c>
      <c r="AM23" s="39"/>
      <c r="AN23" s="44" t="s">
        <v>160</v>
      </c>
      <c r="AO23" s="40" t="s">
        <v>432</v>
      </c>
      <c r="AP23" s="40"/>
      <c r="AQ23" s="40"/>
      <c r="AR23" s="40"/>
      <c r="AS23" s="59"/>
    </row>
    <row r="24" spans="1:45" ht="9.75" customHeight="1">
      <c r="A24" s="1"/>
      <c r="B24" s="1"/>
      <c r="C24" s="1"/>
      <c r="D24" s="37" t="s">
        <v>90</v>
      </c>
      <c r="E24" s="37"/>
      <c r="F24" s="37"/>
      <c r="G24" s="37"/>
      <c r="H24" s="37"/>
      <c r="I24" s="37"/>
      <c r="J24" s="84" t="s">
        <v>92</v>
      </c>
      <c r="K24" s="271">
        <f>stress(K22,"plate",K23,K18,N18,N17,3)</f>
        <v>1040.1105372374868</v>
      </c>
      <c r="L24" s="271"/>
      <c r="M24" s="271"/>
      <c r="N24" s="37" t="str">
        <f>upsx(N17)</f>
        <v>kg/cm2</v>
      </c>
      <c r="O24" s="36"/>
      <c r="P24" s="36"/>
      <c r="Q24" s="1"/>
      <c r="R24" s="1"/>
      <c r="S24" s="1"/>
      <c r="T24" s="1"/>
      <c r="U24" s="1"/>
      <c r="V24" s="1"/>
      <c r="W24" s="1"/>
      <c r="X24" s="1"/>
      <c r="Y24" s="1"/>
      <c r="Z24" s="1"/>
      <c r="AI24" s="3"/>
      <c r="AJ24" s="3"/>
      <c r="AL24" s="321" t="str">
        <f>IF(AO22="L Angle","A","H")</f>
        <v>H</v>
      </c>
      <c r="AM24" s="322"/>
      <c r="AN24" s="322" t="str">
        <f>"B"</f>
        <v>B</v>
      </c>
      <c r="AO24" s="322"/>
      <c r="AP24" s="322" t="str">
        <f>IF(AO22="L Angle","t","t1")</f>
        <v>t1</v>
      </c>
      <c r="AQ24" s="322"/>
      <c r="AR24" s="322" t="s">
        <v>31</v>
      </c>
      <c r="AS24" s="336"/>
    </row>
    <row r="25" spans="1:45" ht="9.75" customHeight="1">
      <c r="A25" s="6"/>
      <c r="B25" s="6"/>
      <c r="C25" s="6"/>
      <c r="D25" s="85" t="s">
        <v>175</v>
      </c>
      <c r="E25" s="85"/>
      <c r="F25" s="85"/>
      <c r="G25" s="85"/>
      <c r="H25" s="85"/>
      <c r="I25" s="85"/>
      <c r="J25" s="137" t="s">
        <v>176</v>
      </c>
      <c r="K25" s="292">
        <f>stress(K22,"plate",K23,K18,N18,N17,2)</f>
        <v>2294.3614792003386</v>
      </c>
      <c r="L25" s="292"/>
      <c r="M25" s="292"/>
      <c r="N25" s="85" t="str">
        <f>N24</f>
        <v>kg/cm2</v>
      </c>
      <c r="O25" s="85"/>
      <c r="P25" s="85"/>
      <c r="Q25" s="1"/>
      <c r="R25" s="1"/>
      <c r="S25" s="1"/>
      <c r="T25" s="1"/>
      <c r="U25" s="1"/>
      <c r="V25" s="1"/>
      <c r="W25" s="6"/>
      <c r="X25" s="1"/>
      <c r="Y25" s="1"/>
      <c r="Z25" s="1"/>
      <c r="AI25" s="3"/>
      <c r="AJ25" s="3"/>
      <c r="AL25" s="324">
        <f>shapesteel(AO22,AO23,2)</f>
        <v>0</v>
      </c>
      <c r="AM25" s="289"/>
      <c r="AN25" s="289">
        <f>shapesteel(AO22,AO23,3)</f>
        <v>0</v>
      </c>
      <c r="AO25" s="289"/>
      <c r="AP25" s="289">
        <f>shapesteel(AO22,AO23,4)</f>
        <v>0</v>
      </c>
      <c r="AQ25" s="289"/>
      <c r="AR25" s="289">
        <f>shapesteel(AO22,AO23,5)</f>
        <v>0</v>
      </c>
      <c r="AS25" s="319"/>
    </row>
    <row r="26" spans="1:45" ht="9.75" customHeight="1">
      <c r="A26" s="6"/>
      <c r="B26" s="6"/>
      <c r="E26" s="6"/>
      <c r="F26" s="6"/>
      <c r="G26" s="6"/>
      <c r="H26" s="6"/>
      <c r="I26" s="6"/>
      <c r="J26" s="6"/>
      <c r="K26" s="6"/>
      <c r="L26" s="6"/>
      <c r="M26" s="6"/>
      <c r="N26" s="6"/>
      <c r="Q26" s="1"/>
      <c r="R26" s="1"/>
      <c r="S26" s="1"/>
      <c r="T26" s="1"/>
      <c r="U26" s="1"/>
      <c r="V26" s="1"/>
      <c r="W26" s="1"/>
      <c r="X26" s="1"/>
      <c r="Y26" s="1"/>
      <c r="Z26" s="1"/>
      <c r="AL26" s="60" t="s">
        <v>180</v>
      </c>
      <c r="AM26" s="39"/>
      <c r="AN26" s="44" t="s">
        <v>161</v>
      </c>
      <c r="AO26" s="337">
        <v>75</v>
      </c>
      <c r="AP26" s="337"/>
      <c r="AQ26" s="45" t="s">
        <v>162</v>
      </c>
      <c r="AR26" s="75">
        <v>9</v>
      </c>
      <c r="AS26" s="74" t="s">
        <v>198</v>
      </c>
    </row>
    <row r="27" spans="1:45" ht="9.75" customHeight="1">
      <c r="A27" s="1"/>
      <c r="W27" s="3"/>
      <c r="X27" s="3"/>
      <c r="Y27" s="3"/>
      <c r="AL27" s="338" t="s">
        <v>185</v>
      </c>
      <c r="AM27" s="339"/>
      <c r="AN27" s="40"/>
      <c r="AO27" s="342" t="s">
        <v>173</v>
      </c>
      <c r="AP27" s="342"/>
      <c r="AQ27" s="40"/>
      <c r="AR27" s="40"/>
      <c r="AS27" s="59"/>
    </row>
    <row r="28" spans="1:45" ht="9.75" customHeight="1">
      <c r="A28" s="6"/>
      <c r="B28" s="6"/>
      <c r="C28" s="12" t="s">
        <v>22</v>
      </c>
      <c r="D28" s="9" t="s">
        <v>23</v>
      </c>
      <c r="E28" s="1"/>
      <c r="F28" s="1"/>
      <c r="G28" s="1"/>
      <c r="H28" s="1"/>
      <c r="I28" s="1"/>
      <c r="J28" s="1"/>
      <c r="K28" s="1"/>
      <c r="L28" s="1"/>
      <c r="M28" s="1"/>
      <c r="N28" s="1"/>
      <c r="T28" s="12" t="s">
        <v>61</v>
      </c>
      <c r="U28" s="9" t="s">
        <v>164</v>
      </c>
      <c r="W28" s="142"/>
      <c r="Y28" s="3"/>
      <c r="Z28" s="3"/>
      <c r="AA28" s="3"/>
      <c r="AL28" s="340">
        <v>300</v>
      </c>
      <c r="AM28" s="341"/>
      <c r="AN28" s="71" t="e">
        <f>IF(AL28&lt;=AO28,"&lt;","&gt;")</f>
        <v>#NAME?</v>
      </c>
      <c r="AO28" s="315" t="e">
        <f>MIN(stfnpmax,stfnwmax)</f>
        <v>#NAME?</v>
      </c>
      <c r="AP28" s="315"/>
      <c r="AQ28" s="76" t="e">
        <f>IF(AL28&lt;=AO28,"OK !","NO !")</f>
        <v>#NAME?</v>
      </c>
      <c r="AR28" s="77"/>
      <c r="AS28" s="61"/>
    </row>
    <row r="29" spans="1:25" ht="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W29" s="1"/>
      <c r="X29" s="3"/>
      <c r="Y29" s="1"/>
    </row>
    <row r="30" spans="1:51" ht="9.75" customHeight="1">
      <c r="A30" s="6"/>
      <c r="B30" s="6"/>
      <c r="C30" s="6"/>
      <c r="D30" s="6"/>
      <c r="E30" s="6"/>
      <c r="F30" s="6"/>
      <c r="G30" s="318">
        <f>H32+D32+K32</f>
        <v>370</v>
      </c>
      <c r="H30" s="318"/>
      <c r="I30" s="318"/>
      <c r="J30" s="318"/>
      <c r="K30" s="6"/>
      <c r="L30" s="6"/>
      <c r="M30" s="6"/>
      <c r="N30" s="6"/>
      <c r="AP30" s="17"/>
      <c r="AQ30" s="3"/>
      <c r="AR30" s="17"/>
      <c r="AW30" s="6"/>
      <c r="AX30" s="3"/>
      <c r="AY30" s="3"/>
    </row>
    <row r="31" spans="1:51" ht="9.75" customHeight="1">
      <c r="A31" s="6"/>
      <c r="B31" s="6"/>
      <c r="E31" s="282">
        <f>D32-K21</f>
        <v>32</v>
      </c>
      <c r="F31" s="282"/>
      <c r="G31" s="6"/>
      <c r="H31" s="295">
        <f>H32+2*K21</f>
        <v>306</v>
      </c>
      <c r="I31" s="295"/>
      <c r="J31" s="6"/>
      <c r="K31" s="283">
        <f>K32-K21</f>
        <v>32</v>
      </c>
      <c r="L31" s="283"/>
      <c r="M31" s="32"/>
      <c r="N31" s="32"/>
      <c r="O31" s="1"/>
      <c r="P31" s="1"/>
      <c r="Q31" s="1"/>
      <c r="U31" s="9" t="s">
        <v>62</v>
      </c>
      <c r="AK31" s="1"/>
      <c r="AL31" s="1"/>
      <c r="AM31" s="1"/>
      <c r="AN31" s="1"/>
      <c r="AO31" s="1"/>
      <c r="AP31" s="6"/>
      <c r="AQ31" s="3"/>
      <c r="AR31" s="6"/>
      <c r="AW31" s="6"/>
      <c r="AX31" s="3"/>
      <c r="AY31" s="3"/>
    </row>
    <row r="32" spans="1:51" ht="9.75" customHeight="1">
      <c r="A32" s="6"/>
      <c r="B32" s="6"/>
      <c r="D32" s="288">
        <f>hbox_t_cp</f>
        <v>35</v>
      </c>
      <c r="E32" s="288"/>
      <c r="F32" s="288"/>
      <c r="G32" s="15" t="s">
        <v>24</v>
      </c>
      <c r="H32" s="296">
        <f>hbox_dpt</f>
        <v>300</v>
      </c>
      <c r="I32" s="296"/>
      <c r="J32" s="6"/>
      <c r="K32" s="288">
        <f>tst</f>
        <v>35</v>
      </c>
      <c r="L32" s="288"/>
      <c r="M32" s="288"/>
      <c r="N32" s="13"/>
      <c r="O32" s="6"/>
      <c r="P32" s="6"/>
      <c r="Q32" s="6"/>
      <c r="U32" s="6"/>
      <c r="V32" s="7" t="s">
        <v>63</v>
      </c>
      <c r="W32" s="6"/>
      <c r="X32" s="6" t="s">
        <v>46</v>
      </c>
      <c r="Y32" s="6" t="s">
        <v>64</v>
      </c>
      <c r="Z32" s="6"/>
      <c r="AA32" s="6"/>
      <c r="AB32" s="19" t="s">
        <v>46</v>
      </c>
      <c r="AC32" s="239">
        <f>P37</f>
        <v>22</v>
      </c>
      <c r="AD32" s="239"/>
      <c r="AE32" s="6" t="s">
        <v>65</v>
      </c>
      <c r="AK32" s="1"/>
      <c r="AL32" s="13"/>
      <c r="AM32" s="4"/>
      <c r="AN32" s="6"/>
      <c r="AO32" s="1"/>
      <c r="AP32" s="18"/>
      <c r="AQ32" s="3"/>
      <c r="AR32" s="18"/>
      <c r="AW32" s="6"/>
      <c r="AX32" s="3"/>
      <c r="AY32" s="3"/>
    </row>
    <row r="33" spans="1:49" ht="9.75" customHeight="1">
      <c r="A33" s="1"/>
      <c r="B33" s="1"/>
      <c r="C33" s="1"/>
      <c r="D33" s="1"/>
      <c r="E33" s="294" t="s">
        <v>156</v>
      </c>
      <c r="F33" s="1"/>
      <c r="H33" s="6"/>
      <c r="I33" s="1"/>
      <c r="K33" s="1"/>
      <c r="L33" s="294" t="s">
        <v>171</v>
      </c>
      <c r="M33" s="1"/>
      <c r="N33" s="1" t="s">
        <v>448</v>
      </c>
      <c r="O33" s="1"/>
      <c r="P33" s="1"/>
      <c r="AB33" s="8" t="s">
        <v>46</v>
      </c>
      <c r="AC33" s="305">
        <f>AC32^3/12</f>
        <v>887.3333333333334</v>
      </c>
      <c r="AD33" s="305"/>
      <c r="AE33" s="2" t="s">
        <v>66</v>
      </c>
      <c r="AF33" s="68"/>
      <c r="AG33" s="6"/>
      <c r="AL33" s="1"/>
      <c r="AN33" s="1"/>
      <c r="AQ33" s="3"/>
      <c r="AR33" s="1"/>
      <c r="AW33" s="1"/>
    </row>
    <row r="34" spans="1:50" ht="9.75" customHeight="1">
      <c r="A34" s="1"/>
      <c r="B34" s="1"/>
      <c r="C34" s="1"/>
      <c r="D34" s="1"/>
      <c r="E34" s="294"/>
      <c r="F34" s="1"/>
      <c r="G34" s="6" t="s">
        <v>30</v>
      </c>
      <c r="H34" s="1"/>
      <c r="I34" s="1"/>
      <c r="J34" s="6" t="s">
        <v>30</v>
      </c>
      <c r="K34" s="1"/>
      <c r="L34" s="294"/>
      <c r="M34" s="1"/>
      <c r="N34" s="1" t="s">
        <v>447</v>
      </c>
      <c r="O34" s="1"/>
      <c r="V34" s="7" t="s">
        <v>67</v>
      </c>
      <c r="W34" s="6"/>
      <c r="X34" s="6" t="s">
        <v>46</v>
      </c>
      <c r="Y34" s="6" t="s">
        <v>68</v>
      </c>
      <c r="Z34" s="6"/>
      <c r="AA34" s="6"/>
      <c r="AB34" s="19" t="s">
        <v>46</v>
      </c>
      <c r="AC34" s="239">
        <f>E31</f>
        <v>32</v>
      </c>
      <c r="AD34" s="239"/>
      <c r="AE34" s="6" t="s">
        <v>65</v>
      </c>
      <c r="AL34" s="1"/>
      <c r="AN34" s="1"/>
      <c r="AO34" s="1"/>
      <c r="AR34" s="3"/>
      <c r="AW34" s="1"/>
      <c r="AX34" s="1"/>
    </row>
    <row r="35" spans="1:50" ht="9.75" customHeight="1">
      <c r="A35" s="1"/>
      <c r="B35" s="1"/>
      <c r="C35" s="1"/>
      <c r="D35" s="1"/>
      <c r="E35" s="1"/>
      <c r="F35" s="1"/>
      <c r="G35" s="1"/>
      <c r="H35" s="1"/>
      <c r="I35" s="1"/>
      <c r="J35" s="6"/>
      <c r="K35" s="1"/>
      <c r="L35" s="1"/>
      <c r="M35" s="1"/>
      <c r="N35" s="1"/>
      <c r="O35" s="34"/>
      <c r="AB35" s="8" t="s">
        <v>46</v>
      </c>
      <c r="AC35" s="305">
        <f>AC34^3/12</f>
        <v>2730.6666666666665</v>
      </c>
      <c r="AD35" s="305"/>
      <c r="AE35" s="2" t="s">
        <v>66</v>
      </c>
      <c r="AL35" s="1"/>
      <c r="AN35" s="1"/>
      <c r="AO35" s="1"/>
      <c r="AP35" s="6"/>
      <c r="AQ35" s="3"/>
      <c r="AR35" s="1"/>
      <c r="AW35" s="1"/>
      <c r="AX35" s="1"/>
    </row>
    <row r="36" spans="1:51" ht="9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O36" s="33"/>
      <c r="P36" s="6"/>
      <c r="Q36" s="6"/>
      <c r="U36" s="7" t="s">
        <v>441</v>
      </c>
      <c r="AG36" s="6"/>
      <c r="AK36" s="3"/>
      <c r="AL36" s="6"/>
      <c r="AM36" s="3"/>
      <c r="AN36" s="6"/>
      <c r="AO36" s="3"/>
      <c r="AP36" s="6"/>
      <c r="AQ36" s="3"/>
      <c r="AR36" s="6"/>
      <c r="AW36" s="6"/>
      <c r="AX36" s="3"/>
      <c r="AY36" s="3"/>
    </row>
    <row r="37" spans="1:49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39" t="s">
        <v>443</v>
      </c>
      <c r="N37" s="238">
        <f>hbox_t_tp</f>
        <v>25</v>
      </c>
      <c r="O37" s="238"/>
      <c r="P37" s="299">
        <f>N37-K21</f>
        <v>22</v>
      </c>
      <c r="Q37" s="299"/>
      <c r="U37" s="6"/>
      <c r="V37" s="9" t="s">
        <v>69</v>
      </c>
      <c r="W37" s="1"/>
      <c r="X37" s="1" t="s">
        <v>46</v>
      </c>
      <c r="Y37" s="1" t="s">
        <v>70</v>
      </c>
      <c r="Z37" s="1"/>
      <c r="AA37" s="1"/>
      <c r="AB37" s="19" t="s">
        <v>46</v>
      </c>
      <c r="AC37" s="318">
        <f>H31</f>
        <v>306</v>
      </c>
      <c r="AD37" s="239"/>
      <c r="AE37" s="19" t="s">
        <v>71</v>
      </c>
      <c r="AF37" s="318">
        <f>P42</f>
        <v>406</v>
      </c>
      <c r="AG37" s="239"/>
      <c r="AL37" s="1"/>
      <c r="AN37" s="1"/>
      <c r="AP37" s="1"/>
      <c r="AQ37" s="3"/>
      <c r="AR37" s="1"/>
      <c r="AW37" s="1"/>
    </row>
    <row r="38" spans="1:49" ht="9.75" customHeight="1">
      <c r="A38" s="1"/>
      <c r="B38" s="1"/>
      <c r="C38" s="1"/>
      <c r="D38" s="1"/>
      <c r="E38" s="1"/>
      <c r="F38" s="16" t="s">
        <v>29</v>
      </c>
      <c r="G38" s="1"/>
      <c r="H38" s="1"/>
      <c r="I38" s="16" t="s">
        <v>26</v>
      </c>
      <c r="J38" s="1"/>
      <c r="K38" s="16" t="s">
        <v>25</v>
      </c>
      <c r="L38" s="1"/>
      <c r="M38" s="1"/>
      <c r="N38" s="1"/>
      <c r="P38" s="1"/>
      <c r="Q38" s="1"/>
      <c r="AB38" s="8" t="s">
        <v>46</v>
      </c>
      <c r="AC38" s="306">
        <f>AC37/AF37</f>
        <v>0.7536945812807881</v>
      </c>
      <c r="AD38" s="306"/>
      <c r="AL38" s="1"/>
      <c r="AO38" s="320" t="s">
        <v>197</v>
      </c>
      <c r="AP38" s="1"/>
      <c r="AQ38" s="3"/>
      <c r="AR38" s="1"/>
      <c r="AW38" s="1"/>
    </row>
    <row r="39" spans="1:51" ht="9.75" customHeight="1">
      <c r="A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284" t="s">
        <v>34</v>
      </c>
      <c r="P39" s="6"/>
      <c r="Q39" s="6"/>
      <c r="U39" s="9" t="str">
        <f>U36</f>
        <v>Header Box Parameter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"/>
      <c r="AL39" s="6"/>
      <c r="AM39" s="3"/>
      <c r="AO39" s="320"/>
      <c r="AR39" s="6"/>
      <c r="AX39" s="3"/>
      <c r="AY39" s="3"/>
    </row>
    <row r="40" spans="1:51" ht="9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284"/>
      <c r="P40" s="6"/>
      <c r="Q40" s="6"/>
      <c r="U40" s="6"/>
      <c r="V40" s="7" t="s">
        <v>72</v>
      </c>
      <c r="W40" s="6"/>
      <c r="X40" s="6" t="s">
        <v>46</v>
      </c>
      <c r="Y40" s="6" t="s">
        <v>438</v>
      </c>
      <c r="Z40" s="6"/>
      <c r="AA40" s="6"/>
      <c r="AB40" s="19" t="s">
        <v>46</v>
      </c>
      <c r="AC40" s="318">
        <f>AC35</f>
        <v>2730.6666666666665</v>
      </c>
      <c r="AD40" s="318"/>
      <c r="AK40" s="3"/>
      <c r="AL40" s="6"/>
      <c r="AN40" s="26" t="s">
        <v>95</v>
      </c>
      <c r="AO40" s="320"/>
      <c r="AP40" s="6"/>
      <c r="AR40" s="6"/>
      <c r="AW40" s="6"/>
      <c r="AX40" s="3"/>
      <c r="AY40" s="3"/>
    </row>
    <row r="41" spans="1:49" ht="9.75" customHeight="1">
      <c r="A41" s="1"/>
      <c r="B41" s="1"/>
      <c r="C41" s="1"/>
      <c r="D41" s="1"/>
      <c r="E41" s="286" t="str">
        <f>cp_name</f>
        <v>Cover Plate</v>
      </c>
      <c r="F41" s="1"/>
      <c r="G41" s="1"/>
      <c r="H41" s="1"/>
      <c r="I41" s="1"/>
      <c r="J41" s="1"/>
      <c r="K41" s="1"/>
      <c r="L41" s="286" t="str">
        <f>ts_name</f>
        <v>Tube Plate</v>
      </c>
      <c r="M41" s="1"/>
      <c r="N41" s="284"/>
      <c r="P41" s="1"/>
      <c r="Q41" s="1"/>
      <c r="AC41" s="19" t="s">
        <v>71</v>
      </c>
      <c r="AD41" s="318">
        <f>AC33</f>
        <v>887.3333333333334</v>
      </c>
      <c r="AE41" s="318"/>
      <c r="AF41" s="19" t="s">
        <v>18</v>
      </c>
      <c r="AG41" s="350">
        <f>AC38</f>
        <v>0.7536945812807881</v>
      </c>
      <c r="AH41" s="239"/>
      <c r="AL41" s="1"/>
      <c r="AO41" s="320"/>
      <c r="AP41" s="25"/>
      <c r="AW41" s="1"/>
    </row>
    <row r="42" spans="1:51" ht="9.75" customHeight="1">
      <c r="A42" s="6"/>
      <c r="B42" s="1"/>
      <c r="E42" s="286"/>
      <c r="F42" s="6"/>
      <c r="G42" s="6"/>
      <c r="H42" s="6"/>
      <c r="I42" s="6"/>
      <c r="L42" s="286"/>
      <c r="N42" s="284"/>
      <c r="O42" s="287">
        <f>hbox_hgt</f>
        <v>400</v>
      </c>
      <c r="P42" s="293">
        <f>O42+2*K21</f>
        <v>406</v>
      </c>
      <c r="Q42" s="297">
        <f>O42+2*N37</f>
        <v>450</v>
      </c>
      <c r="AB42" s="8" t="s">
        <v>46</v>
      </c>
      <c r="AC42" s="306">
        <f>AC40/AD41*AG41</f>
        <v>2.319408718952748</v>
      </c>
      <c r="AD42" s="306"/>
      <c r="AM42" s="3"/>
      <c r="AO42" s="320"/>
      <c r="AP42" s="6"/>
      <c r="AR42" s="6"/>
      <c r="AW42" s="6"/>
      <c r="AX42" s="3"/>
      <c r="AY42" s="3"/>
    </row>
    <row r="43" spans="1:49" ht="9.75" customHeight="1">
      <c r="A43" s="1"/>
      <c r="B43" s="1"/>
      <c r="C43" s="1"/>
      <c r="D43" s="1"/>
      <c r="E43" s="286"/>
      <c r="F43" s="16" t="s">
        <v>27</v>
      </c>
      <c r="G43" s="1"/>
      <c r="H43" s="1"/>
      <c r="I43" s="1"/>
      <c r="J43" s="1"/>
      <c r="K43" s="16" t="s">
        <v>28</v>
      </c>
      <c r="L43" s="286"/>
      <c r="M43" s="1"/>
      <c r="O43" s="287"/>
      <c r="P43" s="293"/>
      <c r="Q43" s="297"/>
      <c r="U43" s="7" t="s">
        <v>449</v>
      </c>
      <c r="AL43" s="34"/>
      <c r="AN43" s="323" t="s">
        <v>195</v>
      </c>
      <c r="AO43" s="323"/>
      <c r="AR43" s="1"/>
      <c r="AW43" s="1"/>
    </row>
    <row r="44" spans="1:51" ht="9.75" customHeight="1">
      <c r="A44" s="6"/>
      <c r="B44" s="6"/>
      <c r="C44" s="6"/>
      <c r="D44" s="6"/>
      <c r="E44" s="286"/>
      <c r="F44" s="6"/>
      <c r="G44" s="6"/>
      <c r="H44" s="6"/>
      <c r="I44" s="6"/>
      <c r="J44" s="6"/>
      <c r="K44" s="6"/>
      <c r="L44" s="286"/>
      <c r="M44" s="6"/>
      <c r="N44" s="3"/>
      <c r="O44" s="287"/>
      <c r="P44" s="293"/>
      <c r="Q44" s="297"/>
      <c r="AL44" s="34"/>
      <c r="AN44" s="323"/>
      <c r="AO44" s="323"/>
      <c r="AR44" s="6"/>
      <c r="AW44" s="6"/>
      <c r="AX44" s="3"/>
      <c r="AY44" s="3"/>
    </row>
    <row r="45" spans="1:49" ht="9.75" customHeight="1">
      <c r="A45" s="1"/>
      <c r="B45" s="1"/>
      <c r="C45" s="1"/>
      <c r="D45" s="1"/>
      <c r="E45" s="286"/>
      <c r="F45" s="6"/>
      <c r="G45" s="6"/>
      <c r="H45" s="6"/>
      <c r="I45" s="1"/>
      <c r="J45" s="1"/>
      <c r="K45" s="1"/>
      <c r="L45" s="286"/>
      <c r="M45" s="1"/>
      <c r="N45" s="284" t="s">
        <v>35</v>
      </c>
      <c r="O45" s="287"/>
      <c r="P45" s="293"/>
      <c r="Q45" s="297"/>
      <c r="V45" s="28" t="str">
        <f>tp_name</f>
        <v>Top / Bottom Plate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L45" s="1"/>
      <c r="AO45" s="345" t="str">
        <f>AO38</f>
        <v>***</v>
      </c>
      <c r="AP45" s="1"/>
      <c r="AQ45" s="6"/>
      <c r="AR45" s="1"/>
      <c r="AW45" s="1"/>
    </row>
    <row r="46" spans="1:51" ht="9.75" customHeight="1">
      <c r="A46" s="6"/>
      <c r="B46" s="6"/>
      <c r="C46" s="6"/>
      <c r="D46" s="6"/>
      <c r="E46" s="286"/>
      <c r="F46" s="6"/>
      <c r="G46" s="6"/>
      <c r="H46" s="6"/>
      <c r="I46" s="6"/>
      <c r="J46" s="6"/>
      <c r="K46" s="6"/>
      <c r="L46" s="286"/>
      <c r="M46" s="6"/>
      <c r="N46" s="284"/>
      <c r="O46" s="285" t="s">
        <v>36</v>
      </c>
      <c r="Q46" s="6"/>
      <c r="V46" s="1"/>
      <c r="W46" s="9" t="s">
        <v>376</v>
      </c>
      <c r="X46" s="1"/>
      <c r="Y46" s="6" t="s">
        <v>46</v>
      </c>
      <c r="Z46" s="19" t="s">
        <v>55</v>
      </c>
      <c r="AA46" s="1" t="s">
        <v>74</v>
      </c>
      <c r="AB46" s="1"/>
      <c r="AC46" s="19" t="s">
        <v>46</v>
      </c>
      <c r="AD46" s="333">
        <f>P37/2</f>
        <v>11</v>
      </c>
      <c r="AE46" s="333"/>
      <c r="AF46" s="1" t="s">
        <v>93</v>
      </c>
      <c r="AK46" s="3"/>
      <c r="AL46" s="6"/>
      <c r="AM46" s="3"/>
      <c r="AO46" s="345"/>
      <c r="AP46" s="25"/>
      <c r="AW46" s="6"/>
      <c r="AX46" s="3"/>
      <c r="AY46" s="3"/>
    </row>
    <row r="47" spans="1:51" ht="9.75" customHeight="1">
      <c r="A47" s="6"/>
      <c r="B47" s="6"/>
      <c r="C47" s="6"/>
      <c r="D47" s="1"/>
      <c r="E47" s="1"/>
      <c r="F47" s="6"/>
      <c r="G47" s="6"/>
      <c r="H47" s="6"/>
      <c r="I47" s="6"/>
      <c r="J47" s="6"/>
      <c r="K47" s="6"/>
      <c r="L47" s="1"/>
      <c r="M47" s="1"/>
      <c r="N47" s="284"/>
      <c r="O47" s="285"/>
      <c r="Q47" s="6"/>
      <c r="W47" s="9" t="s">
        <v>377</v>
      </c>
      <c r="X47" s="1"/>
      <c r="Y47" s="6" t="s">
        <v>46</v>
      </c>
      <c r="Z47" s="19" t="s">
        <v>73</v>
      </c>
      <c r="AA47" s="1" t="s">
        <v>74</v>
      </c>
      <c r="AB47" s="1"/>
      <c r="AC47" s="19" t="s">
        <v>46</v>
      </c>
      <c r="AD47" s="333">
        <f>-P37/2</f>
        <v>-11</v>
      </c>
      <c r="AE47" s="333"/>
      <c r="AF47" s="1" t="s">
        <v>93</v>
      </c>
      <c r="AK47" s="3"/>
      <c r="AL47" s="6"/>
      <c r="AN47" s="26" t="s">
        <v>95</v>
      </c>
      <c r="AO47" s="345"/>
      <c r="AP47" s="6"/>
      <c r="AQ47" s="3"/>
      <c r="AR47" s="6"/>
      <c r="AW47" s="6"/>
      <c r="AX47" s="3"/>
      <c r="AY47" s="3"/>
    </row>
    <row r="48" spans="1:49" ht="9.75" customHeight="1">
      <c r="A48" s="1"/>
      <c r="B48" s="1"/>
      <c r="F48" s="1"/>
      <c r="G48" s="1"/>
      <c r="H48" s="1"/>
      <c r="I48" s="1"/>
      <c r="N48" s="284"/>
      <c r="P48" s="1"/>
      <c r="Q48" s="1"/>
      <c r="AO48" s="345"/>
      <c r="AR48" s="1"/>
      <c r="AW48" s="1"/>
    </row>
    <row r="49" spans="1:49" ht="9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P49" s="1"/>
      <c r="Q49" s="1"/>
      <c r="V49" s="24" t="s">
        <v>444</v>
      </c>
      <c r="W49" s="1"/>
      <c r="X49" s="1"/>
      <c r="Y49" s="1"/>
      <c r="Z49" s="1"/>
      <c r="AA49" s="1"/>
      <c r="AB49" s="1"/>
      <c r="AC49" s="1"/>
      <c r="AD49" s="1"/>
      <c r="AE49" s="1"/>
      <c r="AF49" s="1"/>
      <c r="AL49" s="1"/>
      <c r="AO49" s="345"/>
      <c r="AP49" s="1"/>
      <c r="AR49" s="1"/>
      <c r="AW49" s="1"/>
    </row>
    <row r="50" spans="1:51" ht="9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139" t="s">
        <v>443</v>
      </c>
      <c r="N50" s="233">
        <f>N37</f>
        <v>25</v>
      </c>
      <c r="O50" s="233"/>
      <c r="P50" s="299">
        <f>P37</f>
        <v>22</v>
      </c>
      <c r="Q50" s="299"/>
      <c r="V50" s="6"/>
      <c r="W50" s="7" t="s">
        <v>378</v>
      </c>
      <c r="X50" s="6"/>
      <c r="Y50" s="6" t="s">
        <v>46</v>
      </c>
      <c r="Z50" s="19" t="s">
        <v>55</v>
      </c>
      <c r="AA50" s="6" t="s">
        <v>75</v>
      </c>
      <c r="AB50" s="6"/>
      <c r="AC50" s="19" t="s">
        <v>46</v>
      </c>
      <c r="AD50" s="333">
        <f>E31/2</f>
        <v>16</v>
      </c>
      <c r="AE50" s="333"/>
      <c r="AF50" s="1" t="s">
        <v>93</v>
      </c>
      <c r="AK50" s="3"/>
      <c r="AL50" s="6"/>
      <c r="AM50" s="3"/>
      <c r="AN50" s="6"/>
      <c r="AO50" s="3"/>
      <c r="AP50" s="6"/>
      <c r="AQ50" s="3"/>
      <c r="AR50" s="6"/>
      <c r="AW50" s="6"/>
      <c r="AY50" s="3"/>
    </row>
    <row r="51" spans="1:44" ht="9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34"/>
      <c r="P51" s="1"/>
      <c r="Q51" s="1"/>
      <c r="W51" s="7" t="s">
        <v>379</v>
      </c>
      <c r="X51" s="6"/>
      <c r="Y51" s="6" t="s">
        <v>46</v>
      </c>
      <c r="Z51" s="19" t="s">
        <v>73</v>
      </c>
      <c r="AA51" s="6" t="s">
        <v>76</v>
      </c>
      <c r="AB51" s="6"/>
      <c r="AC51" s="19" t="s">
        <v>46</v>
      </c>
      <c r="AD51" s="333">
        <f>-E31/2</f>
        <v>-16</v>
      </c>
      <c r="AE51" s="333"/>
      <c r="AF51" s="1" t="s">
        <v>93</v>
      </c>
      <c r="AL51" s="1"/>
      <c r="AN51" s="1"/>
      <c r="AP51" s="1"/>
      <c r="AQ51" s="3"/>
      <c r="AR51" s="1"/>
    </row>
    <row r="52" spans="1:44" ht="9.75" customHeight="1">
      <c r="A52" s="6"/>
      <c r="B52" s="6"/>
      <c r="C52" s="6"/>
      <c r="D52" s="6"/>
      <c r="E52" s="6"/>
      <c r="F52" s="6"/>
      <c r="G52" s="322" t="s">
        <v>434</v>
      </c>
      <c r="H52" s="322"/>
      <c r="I52" s="322"/>
      <c r="J52" s="322"/>
      <c r="K52" s="6"/>
      <c r="L52" s="6"/>
      <c r="M52" s="6"/>
      <c r="P52" s="6"/>
      <c r="Q52" s="3"/>
      <c r="AK52" s="3"/>
      <c r="AL52" s="6"/>
      <c r="AM52" s="322" t="s">
        <v>435</v>
      </c>
      <c r="AN52" s="322"/>
      <c r="AO52" s="322"/>
      <c r="AP52" s="322"/>
      <c r="AQ52" s="322"/>
      <c r="AR52" s="322"/>
    </row>
    <row r="53" spans="1:52" ht="9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3"/>
      <c r="P53" s="3"/>
      <c r="W53" s="2" t="s">
        <v>450</v>
      </c>
      <c r="AL53" s="334" t="s">
        <v>433</v>
      </c>
      <c r="AM53" s="278"/>
      <c r="AN53" s="278"/>
      <c r="AO53" s="278"/>
      <c r="AP53" s="278"/>
      <c r="AQ53" s="335"/>
      <c r="AR53" s="6"/>
      <c r="AS53" s="334" t="s">
        <v>165</v>
      </c>
      <c r="AT53" s="278"/>
      <c r="AU53" s="278"/>
      <c r="AV53" s="278"/>
      <c r="AW53" s="278"/>
      <c r="AX53" s="278"/>
      <c r="AY53" s="278"/>
      <c r="AZ53" s="335"/>
    </row>
    <row r="54" spans="1:52" ht="9.75" customHeight="1">
      <c r="A54" s="1"/>
      <c r="B54" s="1"/>
      <c r="N54" s="6"/>
      <c r="O54" s="149" t="s">
        <v>493</v>
      </c>
      <c r="P54" s="1"/>
      <c r="AL54" s="70" t="s">
        <v>191</v>
      </c>
      <c r="AM54" s="53"/>
      <c r="AN54" s="42" t="str">
        <f>K23</f>
        <v>SB 410</v>
      </c>
      <c r="AO54" s="42"/>
      <c r="AP54" s="42"/>
      <c r="AQ54" s="57"/>
      <c r="AR54" s="6"/>
      <c r="AS54" s="56" t="s">
        <v>178</v>
      </c>
      <c r="AT54" s="42"/>
      <c r="AU54" s="43" t="s">
        <v>160</v>
      </c>
      <c r="AV54" s="41" t="s">
        <v>431</v>
      </c>
      <c r="AW54" s="41"/>
      <c r="AX54" s="42"/>
      <c r="AY54" s="42"/>
      <c r="AZ54" s="57"/>
    </row>
    <row r="55" spans="1:52" ht="9.75" customHeight="1">
      <c r="A55" s="6"/>
      <c r="B55" s="6"/>
      <c r="C55" s="6"/>
      <c r="D55" s="9" t="s">
        <v>442</v>
      </c>
      <c r="E55" s="6"/>
      <c r="F55" s="1"/>
      <c r="G55" s="1"/>
      <c r="H55" s="1"/>
      <c r="I55" s="1"/>
      <c r="J55" s="9" t="s">
        <v>436</v>
      </c>
      <c r="K55" s="296">
        <f>hbox_lgt</f>
        <v>3699</v>
      </c>
      <c r="L55" s="296"/>
      <c r="M55" s="1" t="s">
        <v>93</v>
      </c>
      <c r="O55" s="332">
        <f>K55/O42</f>
        <v>9.2475</v>
      </c>
      <c r="P55" s="332"/>
      <c r="Q55" s="332">
        <f>K55/H32</f>
        <v>12.33</v>
      </c>
      <c r="R55" s="332"/>
      <c r="AL55" s="64" t="s">
        <v>192</v>
      </c>
      <c r="AM55" s="36"/>
      <c r="AN55" s="271">
        <f>stress(K22,"plate",AN54,K18,N18,N17,3)</f>
        <v>1040.1105372374868</v>
      </c>
      <c r="AO55" s="271"/>
      <c r="AP55" s="271"/>
      <c r="AQ55" s="63"/>
      <c r="AR55" s="6"/>
      <c r="AS55" s="58" t="s">
        <v>179</v>
      </c>
      <c r="AT55" s="39"/>
      <c r="AU55" s="44" t="s">
        <v>160</v>
      </c>
      <c r="AV55" s="40" t="s">
        <v>432</v>
      </c>
      <c r="AW55" s="40"/>
      <c r="AX55" s="40"/>
      <c r="AY55" s="40"/>
      <c r="AZ55" s="59"/>
    </row>
    <row r="56" spans="1:52" ht="9.75" customHeight="1">
      <c r="A56" s="1"/>
      <c r="B56" s="1"/>
      <c r="M56" s="1"/>
      <c r="P56" s="1"/>
      <c r="AL56" s="72" t="s">
        <v>193</v>
      </c>
      <c r="AM56" s="40"/>
      <c r="AN56" s="343">
        <f>stress(K22,"plate",AN54,K18,N18,N17,2)</f>
        <v>2294.3614792003386</v>
      </c>
      <c r="AO56" s="343"/>
      <c r="AP56" s="343"/>
      <c r="AQ56" s="59"/>
      <c r="AR56" s="6"/>
      <c r="AS56" s="321" t="str">
        <f>IF(AV54="L Angle","A","H")</f>
        <v>H</v>
      </c>
      <c r="AT56" s="322"/>
      <c r="AU56" s="322" t="str">
        <f>"B"</f>
        <v>B</v>
      </c>
      <c r="AV56" s="322"/>
      <c r="AW56" s="322" t="str">
        <f>IF(AV54="L Angle","t","t1")</f>
        <v>t1</v>
      </c>
      <c r="AX56" s="322"/>
      <c r="AY56" s="322" t="s">
        <v>31</v>
      </c>
      <c r="AZ56" s="336"/>
    </row>
    <row r="57" spans="1:52" ht="9.75" customHeight="1">
      <c r="A57" s="6"/>
      <c r="B57" s="6"/>
      <c r="C57" s="6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Z57" s="1"/>
      <c r="AA57" s="1"/>
      <c r="AB57" s="1"/>
      <c r="AC57" s="1"/>
      <c r="AD57" s="1"/>
      <c r="AE57" s="1"/>
      <c r="AF57" s="1"/>
      <c r="AL57" s="64" t="s">
        <v>194</v>
      </c>
      <c r="AM57" s="244">
        <v>12.7</v>
      </c>
      <c r="AN57" s="244"/>
      <c r="AO57" s="38" t="s">
        <v>196</v>
      </c>
      <c r="AP57" s="379">
        <f>(O42-AM57)/2+2*K21</f>
        <v>199.65</v>
      </c>
      <c r="AQ57" s="380"/>
      <c r="AR57" s="6"/>
      <c r="AS57" s="324">
        <f>shapesteel(AV54,AV55,2)</f>
        <v>0</v>
      </c>
      <c r="AT57" s="289"/>
      <c r="AU57" s="289">
        <f>shapesteel(AV54,AV55,3)</f>
        <v>0</v>
      </c>
      <c r="AV57" s="289"/>
      <c r="AW57" s="289">
        <f>shapesteel(AV54,AV55,4)</f>
        <v>0</v>
      </c>
      <c r="AX57" s="289"/>
      <c r="AY57" s="289">
        <f>shapesteel(AV54,AV55,5)</f>
        <v>0</v>
      </c>
      <c r="AZ57" s="319"/>
    </row>
    <row r="58" spans="1:52" ht="9.75" customHeight="1">
      <c r="A58" s="6"/>
      <c r="B58" s="6"/>
      <c r="C58" s="12" t="s">
        <v>153</v>
      </c>
      <c r="D58" s="9" t="s">
        <v>226</v>
      </c>
      <c r="P58" s="6"/>
      <c r="AL58" s="78"/>
      <c r="AM58" s="383">
        <f>AM57-2*K21</f>
        <v>6.699999999999999</v>
      </c>
      <c r="AN58" s="383"/>
      <c r="AO58" s="51"/>
      <c r="AP58" s="51"/>
      <c r="AQ58" s="79"/>
      <c r="AR58" s="6"/>
      <c r="AS58" s="78" t="s">
        <v>180</v>
      </c>
      <c r="AT58" s="51"/>
      <c r="AU58" s="73" t="s">
        <v>161</v>
      </c>
      <c r="AV58" s="204">
        <v>75</v>
      </c>
      <c r="AW58" s="204"/>
      <c r="AX58" s="140" t="s">
        <v>162</v>
      </c>
      <c r="AY58" s="130">
        <v>9</v>
      </c>
      <c r="AZ58" s="141" t="s">
        <v>198</v>
      </c>
    </row>
    <row r="59" spans="1:33" ht="9.75" customHeight="1">
      <c r="A59" s="1"/>
      <c r="B59" s="1"/>
      <c r="C59" s="1"/>
      <c r="E59" s="6"/>
      <c r="F59" s="6"/>
      <c r="G59" s="6"/>
      <c r="H59" s="6"/>
      <c r="I59" s="1"/>
      <c r="J59" s="1"/>
      <c r="K59" s="1"/>
      <c r="AG59" s="1"/>
    </row>
    <row r="60" spans="1:40" ht="9.75" customHeight="1">
      <c r="A60" s="6"/>
      <c r="B60" s="6"/>
      <c r="C60" s="6"/>
      <c r="D60" s="334" t="s">
        <v>451</v>
      </c>
      <c r="E60" s="278"/>
      <c r="F60" s="278"/>
      <c r="G60" s="278"/>
      <c r="H60" s="278"/>
      <c r="I60" s="278"/>
      <c r="J60" s="278"/>
      <c r="K60" s="335"/>
      <c r="L60" s="385" t="s">
        <v>472</v>
      </c>
      <c r="M60" s="386"/>
      <c r="N60" s="386"/>
      <c r="O60" s="386"/>
      <c r="P60" s="386"/>
      <c r="Q60" s="387" t="s">
        <v>470</v>
      </c>
      <c r="R60" s="388"/>
      <c r="S60" s="388"/>
      <c r="T60" s="388"/>
      <c r="U60" s="389"/>
      <c r="V60" s="388" t="s">
        <v>471</v>
      </c>
      <c r="W60" s="388"/>
      <c r="X60" s="388"/>
      <c r="Y60" s="390"/>
      <c r="Z60" s="385" t="s">
        <v>227</v>
      </c>
      <c r="AA60" s="388"/>
      <c r="AB60" s="390"/>
      <c r="AG60" s="1"/>
      <c r="AJ60" s="201" t="str">
        <f>ec_name</f>
        <v>End Cover</v>
      </c>
      <c r="AN60" s="2" t="s">
        <v>455</v>
      </c>
    </row>
    <row r="61" spans="1:45" ht="9.75" customHeight="1">
      <c r="A61" s="1"/>
      <c r="B61" s="1"/>
      <c r="C61" s="1"/>
      <c r="D61" s="290" t="str">
        <f>" "&amp;L41</f>
        <v> Tube Plate</v>
      </c>
      <c r="E61" s="291"/>
      <c r="F61" s="291"/>
      <c r="G61" s="291"/>
      <c r="H61" s="291"/>
      <c r="I61" s="291"/>
      <c r="J61" s="42" t="s">
        <v>452</v>
      </c>
      <c r="K61" s="57"/>
      <c r="L61" s="351">
        <f>IF(V23="Removable Header","- N/A -",IF(D$32&lt;&gt;K$32,"***",hbox_TS_EQ_ts))</f>
        <v>1214.521623622743</v>
      </c>
      <c r="M61" s="352"/>
      <c r="N61" s="352"/>
      <c r="O61" s="352"/>
      <c r="P61" s="352"/>
      <c r="Q61" s="353">
        <f>IF(V23="Removable Header","- N/A -",IF(D$32&lt;&gt;K$32,"***",1.5*K$24))</f>
        <v>1560.1658058562302</v>
      </c>
      <c r="R61" s="352"/>
      <c r="S61" s="352"/>
      <c r="T61" s="352"/>
      <c r="U61" s="354"/>
      <c r="V61" s="363">
        <f>IF(V23="Removable Header","- N/A -",IF(D$32&lt;&gt;K$32,"***",L61/Q61))</f>
        <v>0.7784567634182988</v>
      </c>
      <c r="W61" s="363"/>
      <c r="X61" s="363"/>
      <c r="Y61" s="364"/>
      <c r="Z61" s="279" t="str">
        <f>IF(V23="Removable Header","***",IF(D$32&lt;&gt;K$32,"***",IF(L61&lt;=Q61,"OK !","X !")))</f>
        <v>OK !</v>
      </c>
      <c r="AA61" s="280"/>
      <c r="AB61" s="281"/>
      <c r="AJ61" s="2" t="s">
        <v>456</v>
      </c>
      <c r="AK61" s="2" t="s">
        <v>457</v>
      </c>
      <c r="AL61" s="29">
        <v>3.4</v>
      </c>
      <c r="AM61" s="8" t="s">
        <v>458</v>
      </c>
      <c r="AN61" s="144">
        <v>2.4</v>
      </c>
      <c r="AO61" s="277" t="str">
        <f>IF(H32&lt;O42,"H","h")</f>
        <v>H</v>
      </c>
      <c r="AP61" s="277"/>
      <c r="AQ61" s="8" t="s">
        <v>459</v>
      </c>
      <c r="AR61" s="277" t="str">
        <f>IF(H32&lt;O42,"h","H")</f>
        <v>h</v>
      </c>
      <c r="AS61" s="277"/>
    </row>
    <row r="62" spans="1:45" ht="9.75" customHeight="1">
      <c r="A62" s="1"/>
      <c r="B62" s="1"/>
      <c r="C62" s="1"/>
      <c r="D62" s="312"/>
      <c r="E62" s="313"/>
      <c r="F62" s="313"/>
      <c r="G62" s="313"/>
      <c r="H62" s="313"/>
      <c r="I62" s="313"/>
      <c r="J62" s="51" t="s">
        <v>453</v>
      </c>
      <c r="K62" s="143"/>
      <c r="L62" s="365" t="str">
        <f>IF(V23="Removable Header","- N/A -",IF(D$32=K$32,"***",hbox_TS_DF_ts))</f>
        <v>***</v>
      </c>
      <c r="M62" s="292"/>
      <c r="N62" s="292"/>
      <c r="O62" s="292"/>
      <c r="P62" s="292"/>
      <c r="Q62" s="366" t="str">
        <f>IF(V23="Removable Header","- N/A -",IF(D$32=K$32,"***",1.5*K$24))</f>
        <v>***</v>
      </c>
      <c r="R62" s="292"/>
      <c r="S62" s="292"/>
      <c r="T62" s="292"/>
      <c r="U62" s="367"/>
      <c r="V62" s="355" t="str">
        <f>IF(V23="Removable Header","- N/A -",IF(D$32=K$32,"***",L62/Q62))</f>
        <v>***</v>
      </c>
      <c r="W62" s="355"/>
      <c r="X62" s="355"/>
      <c r="Y62" s="356"/>
      <c r="Z62" s="396" t="str">
        <f>IF(V23="Removable Header","***",IF(D$32=K$32,"***",IF(L62&lt;=Q62,"OK !","X !")))</f>
        <v>***</v>
      </c>
      <c r="AA62" s="397"/>
      <c r="AB62" s="398"/>
      <c r="AG62" s="1"/>
      <c r="AK62" s="2" t="s">
        <v>460</v>
      </c>
      <c r="AL62" s="29">
        <f>AL61</f>
        <v>3.4</v>
      </c>
      <c r="AM62" s="8" t="str">
        <f>AM61</f>
        <v>-</v>
      </c>
      <c r="AN62" s="144">
        <f>AN61</f>
        <v>2.4</v>
      </c>
      <c r="AO62" s="325">
        <f>IF(H32&lt;O42,H31,P42)</f>
        <v>306</v>
      </c>
      <c r="AP62" s="233"/>
      <c r="AQ62" s="8" t="str">
        <f>AQ61</f>
        <v>/</v>
      </c>
      <c r="AR62" s="325">
        <f>IF(H32&lt;O42,P42,H31)</f>
        <v>406</v>
      </c>
      <c r="AS62" s="233"/>
    </row>
    <row r="63" spans="1:45" ht="9.75" customHeight="1">
      <c r="A63" s="1"/>
      <c r="B63" s="1"/>
      <c r="C63" s="1"/>
      <c r="D63" s="290" t="str">
        <f>" "&amp;E41</f>
        <v> Cover Plate</v>
      </c>
      <c r="E63" s="291"/>
      <c r="F63" s="291"/>
      <c r="G63" s="291"/>
      <c r="H63" s="291"/>
      <c r="I63" s="291"/>
      <c r="J63" s="42" t="s">
        <v>452</v>
      </c>
      <c r="K63" s="57"/>
      <c r="L63" s="357" t="str">
        <f>IF(V23="Removable Cover","- N/A -",IF(D$32&lt;&gt;K$32,"***",hbox_TS_EQ_cp))</f>
        <v>- N/A -</v>
      </c>
      <c r="M63" s="358"/>
      <c r="N63" s="358"/>
      <c r="O63" s="358"/>
      <c r="P63" s="358"/>
      <c r="Q63" s="359" t="str">
        <f>IF(V23="Removable Cover","- N/A -",IF(D$32&lt;&gt;K$32,"***",1.5*K$24))</f>
        <v>- N/A -</v>
      </c>
      <c r="R63" s="358"/>
      <c r="S63" s="358"/>
      <c r="T63" s="358"/>
      <c r="U63" s="360"/>
      <c r="V63" s="361" t="str">
        <f>IF(V23="Removable Cover","- N/A -",IF(D$32&lt;&gt;K$32,"***",L63/Q63))</f>
        <v>- N/A -</v>
      </c>
      <c r="W63" s="361"/>
      <c r="X63" s="361"/>
      <c r="Y63" s="362"/>
      <c r="Z63" s="399" t="str">
        <f>IF(V23="Removable Cover","***",IF(D$32&lt;&gt;K$32,"***",IF(L63&lt;=Q63,"OK !","X !")))</f>
        <v>***</v>
      </c>
      <c r="AA63" s="400"/>
      <c r="AB63" s="401"/>
      <c r="AG63" s="1"/>
      <c r="AK63" s="2" t="s">
        <v>460</v>
      </c>
      <c r="AL63" s="344">
        <f>MIN(AL62-AN62*AO62/AR62,AR63)</f>
        <v>1.5911330049261083</v>
      </c>
      <c r="AM63" s="344"/>
      <c r="AO63" s="8" t="s">
        <v>155</v>
      </c>
      <c r="AP63" s="2" t="s">
        <v>236</v>
      </c>
      <c r="AR63" s="235">
        <v>2.5</v>
      </c>
      <c r="AS63" s="235"/>
    </row>
    <row r="64" spans="1:28" ht="9.75" customHeight="1">
      <c r="A64" s="6"/>
      <c r="B64" s="6"/>
      <c r="C64" s="6"/>
      <c r="D64" s="312"/>
      <c r="E64" s="313"/>
      <c r="F64" s="313"/>
      <c r="G64" s="313"/>
      <c r="H64" s="313"/>
      <c r="I64" s="313"/>
      <c r="J64" s="51" t="s">
        <v>453</v>
      </c>
      <c r="K64" s="143"/>
      <c r="L64" s="405" t="str">
        <f>IF(V23="Removable Cover","- N/A -",IF(D$32=K$32,"***",hbox_TS_DF_cp))</f>
        <v>- N/A -</v>
      </c>
      <c r="M64" s="318"/>
      <c r="N64" s="318"/>
      <c r="O64" s="318"/>
      <c r="P64" s="318"/>
      <c r="Q64" s="406" t="str">
        <f>IF(V23="Removable Cover","- N/A -",IF(D$32=K$32,"***",1.5*K$24))</f>
        <v>- N/A -</v>
      </c>
      <c r="R64" s="318"/>
      <c r="S64" s="318"/>
      <c r="T64" s="318"/>
      <c r="U64" s="407"/>
      <c r="V64" s="350" t="str">
        <f>IF(V23="Removable Cover","- N/A -",IF(D$32=K$32,"***",L64/Q64))</f>
        <v>- N/A -</v>
      </c>
      <c r="W64" s="350"/>
      <c r="X64" s="350"/>
      <c r="Y64" s="408"/>
      <c r="Z64" s="402" t="str">
        <f>IF(V23="Removable Cover","***",IF(D$32=K$32,"***",IF(L64&lt;=Q64,"OK !","X !")))</f>
        <v>***</v>
      </c>
      <c r="AA64" s="403"/>
      <c r="AB64" s="404"/>
    </row>
    <row r="65" spans="1:52" ht="9.75" customHeight="1">
      <c r="A65" s="6"/>
      <c r="B65" s="6"/>
      <c r="C65" s="6"/>
      <c r="D65" s="290" t="str">
        <f>" "&amp;V45</f>
        <v> Top / Bottom Plate</v>
      </c>
      <c r="E65" s="291"/>
      <c r="F65" s="291"/>
      <c r="G65" s="291"/>
      <c r="H65" s="291"/>
      <c r="I65" s="291"/>
      <c r="J65" s="42" t="s">
        <v>452</v>
      </c>
      <c r="K65" s="57"/>
      <c r="L65" s="392">
        <f>IF(D$32&lt;&gt;K$32,"***",hbox_TS_EQ_tp)</f>
        <v>1281.1735871498327</v>
      </c>
      <c r="M65" s="393"/>
      <c r="N65" s="393"/>
      <c r="O65" s="393"/>
      <c r="P65" s="393"/>
      <c r="Q65" s="394">
        <f>IF(D$32&lt;&gt;K$32,"***",1.5*K$24)</f>
        <v>1560.1658058562302</v>
      </c>
      <c r="R65" s="393"/>
      <c r="S65" s="393"/>
      <c r="T65" s="393"/>
      <c r="U65" s="395"/>
      <c r="V65" s="348">
        <f>IF(D$32&lt;&gt;K$32,"***",L65/Q65)</f>
        <v>0.8211778404197978</v>
      </c>
      <c r="W65" s="348"/>
      <c r="X65" s="348"/>
      <c r="Y65" s="349"/>
      <c r="Z65" s="279" t="str">
        <f>IF(D$32&lt;&gt;K$32,"***",IF(L65&lt;=Q65,"OK !","X !"))</f>
        <v>OK !</v>
      </c>
      <c r="AA65" s="280"/>
      <c r="AB65" s="281"/>
      <c r="AJ65" s="2" t="s">
        <v>461</v>
      </c>
      <c r="AK65" s="2" t="s">
        <v>157</v>
      </c>
      <c r="AL65" s="277" t="str">
        <f>AO61</f>
        <v>H</v>
      </c>
      <c r="AM65" s="277"/>
      <c r="AN65" s="277" t="str">
        <f>AJ61</f>
        <v>Z</v>
      </c>
      <c r="AO65" s="277"/>
      <c r="AP65" s="277" t="s">
        <v>462</v>
      </c>
      <c r="AQ65" s="277"/>
      <c r="AR65" s="277" t="s">
        <v>463</v>
      </c>
      <c r="AS65" s="277"/>
      <c r="AT65" s="8" t="s">
        <v>207</v>
      </c>
      <c r="AU65" s="277" t="s">
        <v>101</v>
      </c>
      <c r="AV65" s="277"/>
      <c r="AW65" s="277" t="s">
        <v>464</v>
      </c>
      <c r="AX65" s="277"/>
      <c r="AY65" s="8" t="s">
        <v>158</v>
      </c>
      <c r="AZ65" s="8" t="s">
        <v>465</v>
      </c>
    </row>
    <row r="66" spans="1:52" ht="9.75" customHeight="1">
      <c r="A66" s="6"/>
      <c r="B66" s="6"/>
      <c r="D66" s="290"/>
      <c r="E66" s="291"/>
      <c r="F66" s="291"/>
      <c r="G66" s="291"/>
      <c r="H66" s="291"/>
      <c r="I66" s="291"/>
      <c r="J66" s="39" t="s">
        <v>453</v>
      </c>
      <c r="K66" s="59"/>
      <c r="L66" s="314" t="str">
        <f>IF(D$32=K$32,"***",hbox_TS_DF_tp)</f>
        <v>***</v>
      </c>
      <c r="M66" s="315"/>
      <c r="N66" s="315"/>
      <c r="O66" s="315"/>
      <c r="P66" s="315"/>
      <c r="Q66" s="316" t="str">
        <f>IF(D$32=K$32,"***",1.5*K$24)</f>
        <v>***</v>
      </c>
      <c r="R66" s="315"/>
      <c r="S66" s="315"/>
      <c r="T66" s="315"/>
      <c r="U66" s="317"/>
      <c r="V66" s="303" t="str">
        <f>IF(D$32=K$32,"***",L66/Q66)</f>
        <v>***</v>
      </c>
      <c r="W66" s="303"/>
      <c r="X66" s="303"/>
      <c r="Y66" s="304"/>
      <c r="Z66" s="300" t="str">
        <f>IF(D$32=K$32,"***",IF(L66&lt;=Q66,"OK !","X !"))</f>
        <v>***</v>
      </c>
      <c r="AA66" s="301"/>
      <c r="AB66" s="302"/>
      <c r="AK66" s="2" t="s">
        <v>157</v>
      </c>
      <c r="AL66" s="325">
        <f>AO62</f>
        <v>306</v>
      </c>
      <c r="AM66" s="325"/>
      <c r="AN66" s="328">
        <f>AL63</f>
        <v>1.5911330049261083</v>
      </c>
      <c r="AO66" s="328"/>
      <c r="AP66" s="235">
        <v>0.33</v>
      </c>
      <c r="AQ66" s="235"/>
      <c r="AR66" s="233">
        <f>K17</f>
        <v>10</v>
      </c>
      <c r="AS66" s="233"/>
      <c r="AT66" s="8" t="str">
        <f>AT65</f>
        <v>/</v>
      </c>
      <c r="AU66" s="325">
        <f>K24</f>
        <v>1040.1105372374868</v>
      </c>
      <c r="AV66" s="233"/>
      <c r="AW66" s="235">
        <v>1</v>
      </c>
      <c r="AX66" s="235"/>
      <c r="AY66" s="8" t="str">
        <f>AY65</f>
        <v>+</v>
      </c>
      <c r="AZ66" s="8">
        <f>K21</f>
        <v>3</v>
      </c>
    </row>
    <row r="67" spans="1:39" ht="9.75" customHeight="1">
      <c r="A67" s="6"/>
      <c r="B67" s="6"/>
      <c r="C67" s="6"/>
      <c r="D67" s="87" t="str">
        <f>" "&amp;AJ60</f>
        <v> End Cover</v>
      </c>
      <c r="E67" s="80"/>
      <c r="F67" s="80"/>
      <c r="G67" s="80"/>
      <c r="H67" s="80"/>
      <c r="I67" s="80"/>
      <c r="J67" s="80"/>
      <c r="K67" s="80"/>
      <c r="L67" s="128"/>
      <c r="M67" s="146" t="str">
        <f>AJ65</f>
        <v>tr</v>
      </c>
      <c r="N67" s="391">
        <f>AL67</f>
        <v>24.741619482473922</v>
      </c>
      <c r="O67" s="391"/>
      <c r="P67" s="88"/>
      <c r="Q67" s="80"/>
      <c r="R67" s="88" t="s">
        <v>198</v>
      </c>
      <c r="S67" s="278">
        <f>hbox_t_ec</f>
        <v>25</v>
      </c>
      <c r="T67" s="278"/>
      <c r="U67" s="80" t="s">
        <v>473</v>
      </c>
      <c r="V67" s="80"/>
      <c r="W67" s="80"/>
      <c r="X67" s="80"/>
      <c r="Y67" s="81"/>
      <c r="Z67" s="300" t="str">
        <f>IF(N67&lt;=S67,"OK !","X !")</f>
        <v>OK !</v>
      </c>
      <c r="AA67" s="301"/>
      <c r="AB67" s="302"/>
      <c r="AK67" s="2" t="s">
        <v>157</v>
      </c>
      <c r="AL67" s="384">
        <f>AL66*(AN66*AP66*AR66/(AU66*AW66))^0.5+AZ66</f>
        <v>24.741619482473922</v>
      </c>
      <c r="AM67" s="384"/>
    </row>
    <row r="68" spans="1:30" ht="9.75" customHeight="1">
      <c r="A68" s="6"/>
      <c r="B68" s="6"/>
      <c r="C68" s="6"/>
      <c r="D68" s="1"/>
      <c r="E68" s="1"/>
      <c r="F68" s="1"/>
      <c r="G68" s="1"/>
      <c r="H68" s="1"/>
      <c r="I68" s="1"/>
      <c r="J68" s="1"/>
      <c r="K68" s="1"/>
      <c r="L68" s="1"/>
      <c r="R68" s="7" t="s">
        <v>437</v>
      </c>
      <c r="S68" s="282">
        <f>S67-K21</f>
        <v>22</v>
      </c>
      <c r="T68" s="282"/>
      <c r="U68" s="6" t="s">
        <v>474</v>
      </c>
      <c r="V68" s="1"/>
      <c r="W68" s="1"/>
      <c r="X68" s="1"/>
      <c r="Y68" s="1"/>
      <c r="Z68" s="1"/>
      <c r="AA68" s="1"/>
      <c r="AB68" s="1"/>
      <c r="AC68" s="1"/>
      <c r="AD68" s="1"/>
    </row>
    <row r="69" spans="1:32" ht="9.75" customHeight="1">
      <c r="A69" s="6"/>
      <c r="B69" s="6"/>
      <c r="C69" s="6"/>
      <c r="AE69" s="1"/>
      <c r="AF69" s="1"/>
    </row>
    <row r="70" spans="1:29" ht="9.75" customHeight="1">
      <c r="A70" s="6"/>
      <c r="B70" s="6"/>
      <c r="C70" s="6"/>
      <c r="D70" s="1"/>
      <c r="E70" s="1"/>
      <c r="F70" s="1"/>
      <c r="G70" s="1"/>
      <c r="H70" s="1"/>
      <c r="I70" s="1"/>
      <c r="J70" s="1"/>
      <c r="K70" s="1"/>
      <c r="L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16" ht="9.75" customHeight="1">
      <c r="A71" s="6"/>
      <c r="B71" s="6"/>
      <c r="C71" s="6"/>
      <c r="P71" s="6"/>
    </row>
    <row r="72" spans="1:29" ht="9.75" customHeight="1">
      <c r="A72" s="6"/>
      <c r="B72" s="6"/>
      <c r="C72" s="6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9.75" customHeight="1">
      <c r="A73" s="6"/>
      <c r="B73" s="6"/>
      <c r="C73" s="6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9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1"/>
    </row>
    <row r="75" spans="1:34" ht="9.75" customHeight="1">
      <c r="A75" s="10" t="str">
        <f>cosymbol</f>
        <v> NTES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1" t="str">
        <f>coname</f>
        <v>Narai Thermal Engineering Services </v>
      </c>
    </row>
    <row r="77" spans="4:29" ht="11.25">
      <c r="D77" s="86" t="s">
        <v>389</v>
      </c>
      <c r="E77" s="21"/>
      <c r="F77" s="21"/>
      <c r="G77" s="21"/>
      <c r="H77" s="21"/>
      <c r="I77" s="279" t="str">
        <f>IF(K17&gt;=0,"***",IF(AND(O77="OK !",S77="OK !",W77="OK !",AA77="OK !"),"OK !","NO !"))</f>
        <v>***</v>
      </c>
      <c r="J77" s="280"/>
      <c r="K77" s="281"/>
      <c r="L77" s="128" t="s">
        <v>445</v>
      </c>
      <c r="M77" s="88"/>
      <c r="N77" s="88"/>
      <c r="O77" s="311" t="str">
        <f>IF(K17&gt;=0,"***",oksp)</f>
        <v>***</v>
      </c>
      <c r="P77" s="311"/>
      <c r="Q77" s="88" t="s">
        <v>446</v>
      </c>
      <c r="R77" s="88"/>
      <c r="S77" s="311" t="str">
        <f>IF(K17&gt;=0,"***",oklp)</f>
        <v>***</v>
      </c>
      <c r="T77" s="311"/>
      <c r="U77" s="88" t="s">
        <v>391</v>
      </c>
      <c r="V77" s="88"/>
      <c r="W77" s="311" t="str">
        <f>IF(K17&gt;=0,"***",okep)</f>
        <v>***</v>
      </c>
      <c r="X77" s="311"/>
      <c r="Y77" s="88" t="s">
        <v>390</v>
      </c>
      <c r="Z77" s="88"/>
      <c r="AA77" s="311" t="str">
        <f>IF(K17&gt;=0,"***",okcolumn)</f>
        <v>***</v>
      </c>
      <c r="AB77" s="311"/>
      <c r="AC77" s="129"/>
    </row>
    <row r="78" spans="4:29" ht="11.25">
      <c r="D78" s="87" t="s">
        <v>230</v>
      </c>
      <c r="E78" s="88"/>
      <c r="F78" s="88"/>
      <c r="G78" s="88"/>
      <c r="H78" s="88"/>
      <c r="I78" s="374" t="e">
        <f>maxynstf</f>
        <v>#NAME?</v>
      </c>
      <c r="J78" s="375"/>
      <c r="K78" s="376"/>
      <c r="L78" s="257" t="e">
        <f>maxsecstf</f>
        <v>#NAME?</v>
      </c>
      <c r="M78" s="257"/>
      <c r="N78" s="257"/>
      <c r="O78" s="257"/>
      <c r="P78" s="257"/>
      <c r="Q78" s="257"/>
      <c r="R78" s="370" t="e">
        <f>maxpstf</f>
        <v>#NAME?</v>
      </c>
      <c r="S78" s="257"/>
      <c r="T78" s="371"/>
      <c r="U78" s="368" t="e">
        <f>maxsastf</f>
        <v>#NAME?</v>
      </c>
      <c r="V78" s="369"/>
      <c r="W78" s="369"/>
      <c r="X78" s="369" t="e">
        <f>maxsstf</f>
        <v>#NAME?</v>
      </c>
      <c r="Y78" s="369"/>
      <c r="Z78" s="369"/>
      <c r="AA78" s="381" t="e">
        <f>maxrstf</f>
        <v>#NAME?</v>
      </c>
      <c r="AB78" s="381"/>
      <c r="AC78" s="382"/>
    </row>
    <row r="79" spans="4:29" ht="11.25">
      <c r="D79" s="86" t="s">
        <v>231</v>
      </c>
      <c r="E79" s="21"/>
      <c r="F79" s="21"/>
      <c r="G79" s="21"/>
      <c r="H79" s="21"/>
      <c r="I79" s="279" t="e">
        <f>maxyn1sp</f>
        <v>#NAME?</v>
      </c>
      <c r="J79" s="280"/>
      <c r="K79" s="281"/>
      <c r="L79" s="256" t="e">
        <f>maxsec1sp</f>
        <v>#NAME?</v>
      </c>
      <c r="M79" s="256"/>
      <c r="N79" s="256"/>
      <c r="O79" s="256"/>
      <c r="P79" s="256"/>
      <c r="Q79" s="256"/>
      <c r="R79" s="372" t="e">
        <f>maxp1sp</f>
        <v>#NAME?</v>
      </c>
      <c r="S79" s="256"/>
      <c r="T79" s="373"/>
      <c r="U79" s="378" t="e">
        <f>maxsa1sp</f>
        <v>#NAME?</v>
      </c>
      <c r="V79" s="377"/>
      <c r="W79" s="377"/>
      <c r="X79" s="377" t="e">
        <f>maxs1sp</f>
        <v>#NAME?</v>
      </c>
      <c r="Y79" s="377"/>
      <c r="Z79" s="377"/>
      <c r="AA79" s="363" t="e">
        <f>maxr1sp</f>
        <v>#NAME?</v>
      </c>
      <c r="AB79" s="363"/>
      <c r="AC79" s="364"/>
    </row>
    <row r="80" spans="4:29" ht="11.25"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5:32" ht="11.25">
      <c r="O81" s="6"/>
      <c r="P81" s="6"/>
      <c r="Z81" s="6"/>
      <c r="AA81" s="6"/>
      <c r="AB81" s="1"/>
      <c r="AC81" s="1"/>
      <c r="AD81" s="1"/>
      <c r="AE81" s="1"/>
      <c r="AF81" s="1"/>
    </row>
    <row r="89" spans="12:32" ht="11.25"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2:32" ht="11.25"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117" ht="13.5" customHeight="1"/>
    <row r="118" ht="13.5" customHeight="1"/>
  </sheetData>
  <mergeCells count="180">
    <mergeCell ref="N67:O67"/>
    <mergeCell ref="L65:P65"/>
    <mergeCell ref="Q65:U65"/>
    <mergeCell ref="Z62:AB62"/>
    <mergeCell ref="Z63:AB63"/>
    <mergeCell ref="Z64:AB64"/>
    <mergeCell ref="Z65:AB65"/>
    <mergeCell ref="L64:P64"/>
    <mergeCell ref="Q64:U64"/>
    <mergeCell ref="V64:Y64"/>
    <mergeCell ref="L60:P60"/>
    <mergeCell ref="Q60:U60"/>
    <mergeCell ref="V60:Y60"/>
    <mergeCell ref="Z60:AB60"/>
    <mergeCell ref="AU65:AV65"/>
    <mergeCell ref="AW65:AX65"/>
    <mergeCell ref="AN66:AO66"/>
    <mergeCell ref="AP66:AQ66"/>
    <mergeCell ref="AR66:AS66"/>
    <mergeCell ref="AU66:AV66"/>
    <mergeCell ref="AW66:AX66"/>
    <mergeCell ref="AP65:AQ65"/>
    <mergeCell ref="AR65:AS65"/>
    <mergeCell ref="AF37:AG37"/>
    <mergeCell ref="AP57:AQ57"/>
    <mergeCell ref="X78:Z78"/>
    <mergeCell ref="AA78:AC78"/>
    <mergeCell ref="AM58:AN58"/>
    <mergeCell ref="AM57:AN57"/>
    <mergeCell ref="AD47:AE47"/>
    <mergeCell ref="AA77:AB77"/>
    <mergeCell ref="AL67:AM67"/>
    <mergeCell ref="Z61:AB61"/>
    <mergeCell ref="X79:Z79"/>
    <mergeCell ref="AA79:AC79"/>
    <mergeCell ref="I79:K79"/>
    <mergeCell ref="U79:W79"/>
    <mergeCell ref="U78:W78"/>
    <mergeCell ref="R78:T78"/>
    <mergeCell ref="R79:T79"/>
    <mergeCell ref="I78:K78"/>
    <mergeCell ref="L78:Q78"/>
    <mergeCell ref="L79:Q79"/>
    <mergeCell ref="E41:E46"/>
    <mergeCell ref="D60:K60"/>
    <mergeCell ref="V62:Y62"/>
    <mergeCell ref="L63:P63"/>
    <mergeCell ref="Q63:U63"/>
    <mergeCell ref="V63:Y63"/>
    <mergeCell ref="V61:Y61"/>
    <mergeCell ref="L62:P62"/>
    <mergeCell ref="Q62:U62"/>
    <mergeCell ref="G52:J52"/>
    <mergeCell ref="AO61:AP61"/>
    <mergeCell ref="AO62:AP62"/>
    <mergeCell ref="L61:P61"/>
    <mergeCell ref="Q61:U61"/>
    <mergeCell ref="AL63:AM63"/>
    <mergeCell ref="AO45:AO49"/>
    <mergeCell ref="AL17:AS17"/>
    <mergeCell ref="V65:Y65"/>
    <mergeCell ref="AL53:AQ53"/>
    <mergeCell ref="AM52:AR52"/>
    <mergeCell ref="AD46:AE46"/>
    <mergeCell ref="AD50:AE50"/>
    <mergeCell ref="AD41:AE41"/>
    <mergeCell ref="AG41:AH41"/>
    <mergeCell ref="AN56:AP56"/>
    <mergeCell ref="K17:M17"/>
    <mergeCell ref="K18:M18"/>
    <mergeCell ref="K21:M21"/>
    <mergeCell ref="K24:M24"/>
    <mergeCell ref="I20:L20"/>
    <mergeCell ref="I19:J19"/>
    <mergeCell ref="K19:L19"/>
    <mergeCell ref="P50:Q50"/>
    <mergeCell ref="O55:P55"/>
    <mergeCell ref="AR24:AS24"/>
    <mergeCell ref="G30:J30"/>
    <mergeCell ref="H32:I32"/>
    <mergeCell ref="K32:M32"/>
    <mergeCell ref="AO26:AP26"/>
    <mergeCell ref="AO28:AP28"/>
    <mergeCell ref="AL27:AM27"/>
    <mergeCell ref="AL28:AM28"/>
    <mergeCell ref="AO27:AP27"/>
    <mergeCell ref="AR25:AS25"/>
    <mergeCell ref="AS53:AZ53"/>
    <mergeCell ref="AY56:AZ56"/>
    <mergeCell ref="AW56:AX56"/>
    <mergeCell ref="AU56:AV56"/>
    <mergeCell ref="Q55:R55"/>
    <mergeCell ref="AD51:AE51"/>
    <mergeCell ref="AO21:AQ21"/>
    <mergeCell ref="AO20:AQ20"/>
    <mergeCell ref="AL25:AM25"/>
    <mergeCell ref="AN25:AO25"/>
    <mergeCell ref="AP25:AQ25"/>
    <mergeCell ref="AL24:AM24"/>
    <mergeCell ref="AN24:AO24"/>
    <mergeCell ref="AP24:AQ24"/>
    <mergeCell ref="AD2:AH2"/>
    <mergeCell ref="AD1:AH1"/>
    <mergeCell ref="AD4:AE4"/>
    <mergeCell ref="AG4:AH4"/>
    <mergeCell ref="AD3:AH3"/>
    <mergeCell ref="AV19:AW19"/>
    <mergeCell ref="M19:N19"/>
    <mergeCell ref="O20:P20"/>
    <mergeCell ref="AV20:AW20"/>
    <mergeCell ref="M20:N20"/>
    <mergeCell ref="X19:Y19"/>
    <mergeCell ref="X20:Y20"/>
    <mergeCell ref="AC19:AD19"/>
    <mergeCell ref="AC20:AD20"/>
    <mergeCell ref="Z20:AA20"/>
    <mergeCell ref="S67:T67"/>
    <mergeCell ref="AU57:AV57"/>
    <mergeCell ref="AS57:AT57"/>
    <mergeCell ref="AL65:AM65"/>
    <mergeCell ref="AN65:AO65"/>
    <mergeCell ref="AL66:AM66"/>
    <mergeCell ref="AV58:AW58"/>
    <mergeCell ref="AR61:AS61"/>
    <mergeCell ref="AR62:AS62"/>
    <mergeCell ref="AR63:AS63"/>
    <mergeCell ref="AC42:AD42"/>
    <mergeCell ref="AC40:AD40"/>
    <mergeCell ref="AC34:AD34"/>
    <mergeCell ref="AY57:AZ57"/>
    <mergeCell ref="AO38:AO42"/>
    <mergeCell ref="AW57:AX57"/>
    <mergeCell ref="AS56:AT56"/>
    <mergeCell ref="AN55:AP55"/>
    <mergeCell ref="AC37:AD37"/>
    <mergeCell ref="AN43:AO44"/>
    <mergeCell ref="A2:Y4"/>
    <mergeCell ref="W77:X77"/>
    <mergeCell ref="D61:I62"/>
    <mergeCell ref="D63:I64"/>
    <mergeCell ref="O77:P77"/>
    <mergeCell ref="S77:T77"/>
    <mergeCell ref="L66:P66"/>
    <mergeCell ref="Q66:U66"/>
    <mergeCell ref="O19:P19"/>
    <mergeCell ref="X21:Y21"/>
    <mergeCell ref="S68:T68"/>
    <mergeCell ref="AC32:AD32"/>
    <mergeCell ref="Z21:AA21"/>
    <mergeCell ref="P37:Q37"/>
    <mergeCell ref="Z67:AB67"/>
    <mergeCell ref="V66:Y66"/>
    <mergeCell ref="Z66:AB66"/>
    <mergeCell ref="AC33:AD33"/>
    <mergeCell ref="AC35:AD35"/>
    <mergeCell ref="AC38:AD38"/>
    <mergeCell ref="Z19:AA19"/>
    <mergeCell ref="D65:I66"/>
    <mergeCell ref="K25:M25"/>
    <mergeCell ref="N39:N42"/>
    <mergeCell ref="P42:P45"/>
    <mergeCell ref="E33:E34"/>
    <mergeCell ref="H31:I31"/>
    <mergeCell ref="K55:L55"/>
    <mergeCell ref="Q42:Q45"/>
    <mergeCell ref="L33:L34"/>
    <mergeCell ref="I77:K77"/>
    <mergeCell ref="E31:F31"/>
    <mergeCell ref="K31:L31"/>
    <mergeCell ref="N37:O37"/>
    <mergeCell ref="N45:N48"/>
    <mergeCell ref="O46:O47"/>
    <mergeCell ref="L41:L46"/>
    <mergeCell ref="O42:O45"/>
    <mergeCell ref="N50:O50"/>
    <mergeCell ref="D32:F32"/>
    <mergeCell ref="U18:V18"/>
    <mergeCell ref="X18:Y18"/>
    <mergeCell ref="Z18:AA18"/>
    <mergeCell ref="R17:AA17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X75"/>
  <sheetViews>
    <sheetView view="pageBreakPreview" zoomScaleSheetLayoutView="100" workbookViewId="0" topLeftCell="A1">
      <selection activeCell="X6" sqref="X6"/>
    </sheetView>
  </sheetViews>
  <sheetFormatPr defaultColWidth="8.88671875" defaultRowHeight="13.5"/>
  <cols>
    <col min="1" max="50" width="2.3359375" style="2" customWidth="1"/>
    <col min="51" max="16384" width="8.88671875" style="2" customWidth="1"/>
  </cols>
  <sheetData>
    <row r="1" spans="1:34" ht="9.75" customHeight="1">
      <c r="A1" s="55"/>
      <c r="B1" s="133" t="str">
        <f>sc_title2</f>
        <v>H E A D E R     B O X</v>
      </c>
      <c r="C1" s="133"/>
      <c r="D1" s="133"/>
      <c r="E1" s="133"/>
      <c r="F1" s="133"/>
      <c r="G1" s="133"/>
      <c r="H1" s="133" t="s">
        <v>429</v>
      </c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41" t="s">
        <v>422</v>
      </c>
      <c r="AA1" s="41"/>
      <c r="AB1" s="41"/>
      <c r="AC1" s="135"/>
      <c r="AD1" s="276" t="str">
        <f>sc_docno</f>
        <v>SC - RPV - 100</v>
      </c>
      <c r="AE1" s="276"/>
      <c r="AF1" s="276"/>
      <c r="AG1" s="276"/>
      <c r="AH1" s="276"/>
    </row>
    <row r="2" spans="1:34" ht="9.75" customHeight="1">
      <c r="A2" s="415" t="str">
        <f>sc_title</f>
        <v>S T R E N G T H     C A L C U L A T I O N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37" t="s">
        <v>423</v>
      </c>
      <c r="AA2" s="37"/>
      <c r="AB2" s="37"/>
      <c r="AC2" s="136"/>
      <c r="AD2" s="263" t="str">
        <f>sc_date</f>
        <v>2019.  7.  15.</v>
      </c>
      <c r="AE2" s="263"/>
      <c r="AF2" s="263"/>
      <c r="AG2" s="263"/>
      <c r="AH2" s="263"/>
    </row>
    <row r="3" spans="1:34" ht="9.75" customHeight="1">
      <c r="A3" s="415"/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37" t="s">
        <v>424</v>
      </c>
      <c r="AA3" s="37"/>
      <c r="AB3" s="37"/>
      <c r="AC3" s="136"/>
      <c r="AD3" s="263">
        <f>sc_revno</f>
        <v>0</v>
      </c>
      <c r="AE3" s="263"/>
      <c r="AF3" s="263"/>
      <c r="AG3" s="263"/>
      <c r="AH3" s="263"/>
    </row>
    <row r="4" spans="1:34" ht="9.75" customHeight="1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51" t="s">
        <v>425</v>
      </c>
      <c r="AA4" s="51"/>
      <c r="AB4" s="51"/>
      <c r="AC4" s="51"/>
      <c r="AD4" s="204">
        <v>2</v>
      </c>
      <c r="AE4" s="204"/>
      <c r="AF4" s="73" t="s">
        <v>0</v>
      </c>
      <c r="AG4" s="236" t="str">
        <f>sc_sheetqty</f>
        <v>x</v>
      </c>
      <c r="AH4" s="236"/>
    </row>
    <row r="5" spans="1:29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C5" s="3"/>
    </row>
    <row r="6" spans="1:34" ht="9.75" customHeight="1">
      <c r="A6" s="6"/>
      <c r="B6" s="6" t="s">
        <v>6</v>
      </c>
      <c r="C6" s="6"/>
      <c r="D6" s="6"/>
      <c r="E6" s="7" t="str">
        <f>project</f>
        <v>Later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3"/>
      <c r="R6" s="3"/>
      <c r="S6" s="3"/>
      <c r="T6" s="5"/>
      <c r="U6" s="5"/>
      <c r="V6" s="5"/>
      <c r="Y6" s="3"/>
      <c r="AH6" s="4"/>
    </row>
    <row r="7" spans="1:34" ht="9.75" customHeight="1">
      <c r="A7" s="6"/>
      <c r="B7" s="6" t="s">
        <v>7</v>
      </c>
      <c r="C7" s="6"/>
      <c r="D7" s="6"/>
      <c r="E7" s="7" t="str">
        <f>itemno</f>
        <v>H - 100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5"/>
      <c r="U7" s="5"/>
      <c r="V7" s="5"/>
      <c r="Y7" s="6"/>
      <c r="AH7" s="4"/>
    </row>
    <row r="8" spans="1:34" ht="9.75" customHeight="1">
      <c r="A8" s="6"/>
      <c r="B8" s="6" t="s">
        <v>8</v>
      </c>
      <c r="C8" s="6"/>
      <c r="D8" s="6"/>
      <c r="E8" s="7" t="str">
        <f>service</f>
        <v>Air Cooled Heat Exchanger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Y8" s="6"/>
      <c r="AH8" s="3"/>
    </row>
    <row r="9" spans="1:25" ht="9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3"/>
      <c r="W9" s="3"/>
      <c r="X9" s="3"/>
      <c r="Y9" s="3"/>
    </row>
    <row r="10" spans="1:29" ht="9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3"/>
      <c r="W10" s="3"/>
      <c r="X10" s="3"/>
      <c r="Y10" s="3"/>
      <c r="Z10" s="3"/>
      <c r="AA10" s="3"/>
      <c r="AB10" s="3"/>
      <c r="AC10" s="3"/>
    </row>
    <row r="11" spans="1:29" ht="9.75" customHeight="1">
      <c r="A11" s="1"/>
      <c r="B11" s="1"/>
      <c r="C11" s="12" t="s">
        <v>61</v>
      </c>
      <c r="D11" s="9" t="s">
        <v>37</v>
      </c>
      <c r="E11" s="1"/>
      <c r="F11" s="1"/>
      <c r="G11" s="1"/>
      <c r="H11" s="1"/>
      <c r="I11" s="1"/>
      <c r="J11" s="1"/>
      <c r="K11" s="19" t="s">
        <v>119</v>
      </c>
      <c r="L11" s="25" t="s">
        <v>31</v>
      </c>
      <c r="M11" s="31" t="s">
        <v>46</v>
      </c>
      <c r="N11" s="25" t="s">
        <v>32</v>
      </c>
      <c r="O11" s="1"/>
      <c r="P11" s="1"/>
      <c r="Q11" s="1"/>
      <c r="R11" s="1"/>
      <c r="S11" s="1"/>
      <c r="T11" s="1"/>
      <c r="U11" s="1"/>
      <c r="AC11" s="3"/>
    </row>
    <row r="12" spans="1:29" ht="9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3"/>
      <c r="W12" s="3"/>
      <c r="X12" s="3"/>
      <c r="Y12" s="3"/>
      <c r="Z12" s="3"/>
      <c r="AA12" s="3"/>
      <c r="AB12" s="3"/>
      <c r="AC12" s="3"/>
    </row>
    <row r="13" spans="1:29" ht="9.75" customHeight="1">
      <c r="A13" s="6"/>
      <c r="B13" s="6"/>
      <c r="C13" s="6"/>
      <c r="D13" s="7" t="s">
        <v>38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3"/>
      <c r="W13" s="3"/>
      <c r="X13" s="3"/>
      <c r="Y13" s="3"/>
      <c r="Z13" s="3"/>
      <c r="AA13" s="3"/>
      <c r="AB13" s="3"/>
      <c r="AC13" s="3"/>
    </row>
    <row r="14" spans="1:29" ht="9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3"/>
      <c r="W14" s="3"/>
      <c r="X14" s="3"/>
      <c r="Y14" s="3"/>
      <c r="Z14" s="3"/>
      <c r="AA14" s="3"/>
      <c r="AB14" s="3"/>
      <c r="AC14" s="3"/>
    </row>
    <row r="15" spans="1:32" ht="9.75" customHeight="1">
      <c r="A15" s="1"/>
      <c r="B15" s="1"/>
      <c r="C15" s="1"/>
      <c r="D15" s="1"/>
      <c r="E15" s="9" t="str">
        <f>plate_ID_tp</f>
        <v>Top / Bottom Plate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AC15" s="3"/>
      <c r="AD15" s="416" t="s">
        <v>92</v>
      </c>
      <c r="AE15" s="416"/>
      <c r="AF15" s="416"/>
    </row>
    <row r="16" spans="1:29" ht="9.75" customHeight="1">
      <c r="A16" s="6"/>
      <c r="B16" s="6"/>
      <c r="C16" s="6"/>
      <c r="D16" s="6"/>
      <c r="E16" s="6"/>
      <c r="F16" s="6"/>
      <c r="G16" s="6"/>
      <c r="N16" s="6"/>
      <c r="O16" s="6"/>
      <c r="P16" s="6"/>
      <c r="Q16" s="6"/>
      <c r="R16" s="6"/>
      <c r="S16" s="6"/>
      <c r="T16" s="6"/>
      <c r="U16" s="6"/>
      <c r="V16" s="3"/>
      <c r="W16" s="3"/>
      <c r="X16" s="3"/>
      <c r="Y16" s="3"/>
      <c r="Z16" s="3"/>
      <c r="AA16" s="3"/>
      <c r="AB16" s="3"/>
      <c r="AC16" s="3"/>
    </row>
    <row r="17" spans="1:34" ht="9.75" customHeight="1">
      <c r="A17" s="1"/>
      <c r="B17" s="1"/>
      <c r="C17" s="1"/>
      <c r="D17" s="1"/>
      <c r="E17" s="1"/>
      <c r="F17" s="24" t="s">
        <v>96</v>
      </c>
      <c r="G17" s="1"/>
      <c r="H17" s="1" t="s">
        <v>39</v>
      </c>
      <c r="I17" s="1" t="s">
        <v>219</v>
      </c>
      <c r="J17" s="1"/>
      <c r="K17" s="1"/>
      <c r="L17" s="19" t="s">
        <v>39</v>
      </c>
      <c r="M17" s="239">
        <f>sc_dp</f>
        <v>10</v>
      </c>
      <c r="N17" s="239"/>
      <c r="O17" s="19" t="s">
        <v>40</v>
      </c>
      <c r="P17" s="239">
        <f>sc_lh</f>
        <v>406</v>
      </c>
      <c r="Q17" s="239"/>
      <c r="R17" s="83" t="s">
        <v>221</v>
      </c>
      <c r="S17" s="239">
        <f>sc_st1</f>
        <v>22</v>
      </c>
      <c r="T17" s="239"/>
      <c r="U17" s="8" t="s">
        <v>41</v>
      </c>
      <c r="V17" s="233">
        <f>sc_jen</f>
        <v>1</v>
      </c>
      <c r="W17" s="233"/>
      <c r="X17" s="8" t="s">
        <v>46</v>
      </c>
      <c r="Y17" s="412">
        <f>M17*P17/2/S17/V17</f>
        <v>92.27272727272727</v>
      </c>
      <c r="Z17" s="412"/>
      <c r="AA17" s="412"/>
      <c r="AB17" s="2" t="str">
        <f>upsx(sc_pu)</f>
        <v>kg/cm2</v>
      </c>
      <c r="AC17" s="23" t="str">
        <f>IF(Y17&lt;=AD17,"&lt;","&gt;")</f>
        <v>&lt;</v>
      </c>
      <c r="AD17" s="264">
        <f>sc_mas</f>
        <v>1040.1105372374868</v>
      </c>
      <c r="AE17" s="264"/>
      <c r="AF17" s="264"/>
      <c r="AG17" s="410" t="str">
        <f>IF(ABS(Y17)&lt;=ABS(AD17),"OK !","NO !")</f>
        <v>OK !</v>
      </c>
      <c r="AH17" s="410"/>
    </row>
    <row r="18" spans="1:29" ht="9.75" customHeight="1">
      <c r="A18" s="6"/>
      <c r="B18" s="6"/>
      <c r="C18" s="6"/>
      <c r="D18" s="6"/>
      <c r="E18" s="6"/>
      <c r="F18" s="6"/>
      <c r="G18" s="6"/>
      <c r="S18" s="6"/>
      <c r="T18" s="6"/>
      <c r="X18" s="3"/>
      <c r="Y18" s="3"/>
      <c r="Z18" s="3"/>
      <c r="AA18" s="3"/>
      <c r="AB18" s="3"/>
      <c r="AC18" s="3"/>
    </row>
    <row r="19" spans="1:20" ht="9.75" customHeight="1">
      <c r="A19" s="1"/>
      <c r="B19" s="1"/>
      <c r="C19" s="1"/>
      <c r="D19" s="1"/>
      <c r="E19" s="28" t="str">
        <f>plate_ID_cp</f>
        <v>Cover Plate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9" ht="9.75" customHeight="1">
      <c r="A20" s="1"/>
      <c r="B20" s="1"/>
      <c r="C20" s="1"/>
      <c r="D20" s="1"/>
      <c r="E20" s="1"/>
      <c r="F20" s="1"/>
      <c r="G20" s="1"/>
      <c r="N20" s="1"/>
      <c r="P20" s="1"/>
      <c r="AC20" s="3"/>
    </row>
    <row r="21" spans="1:38" ht="9.75" customHeight="1">
      <c r="A21" s="6"/>
      <c r="B21" s="6"/>
      <c r="C21" s="6"/>
      <c r="D21" s="6"/>
      <c r="E21" s="6"/>
      <c r="F21" s="24" t="s">
        <v>99</v>
      </c>
      <c r="G21" s="1"/>
      <c r="H21" s="1" t="s">
        <v>39</v>
      </c>
      <c r="I21" s="1" t="s">
        <v>220</v>
      </c>
      <c r="J21" s="1"/>
      <c r="K21" s="1"/>
      <c r="L21" s="19" t="s">
        <v>39</v>
      </c>
      <c r="M21" s="239">
        <f>M17</f>
        <v>10</v>
      </c>
      <c r="N21" s="239"/>
      <c r="O21" s="19" t="s">
        <v>40</v>
      </c>
      <c r="P21" s="239">
        <f>sc_sh</f>
        <v>306</v>
      </c>
      <c r="Q21" s="239"/>
      <c r="R21" s="83" t="s">
        <v>221</v>
      </c>
      <c r="S21" s="239">
        <f>sc_lt2</f>
        <v>32</v>
      </c>
      <c r="T21" s="239"/>
      <c r="U21" s="8" t="s">
        <v>41</v>
      </c>
      <c r="V21" s="328">
        <f>sc_jem1</f>
        <v>1</v>
      </c>
      <c r="W21" s="328"/>
      <c r="X21" s="8" t="s">
        <v>46</v>
      </c>
      <c r="Y21" s="412">
        <f>M21*P21/2/S21/V21</f>
        <v>47.8125</v>
      </c>
      <c r="Z21" s="412"/>
      <c r="AA21" s="412"/>
      <c r="AB21" s="2" t="str">
        <f>AB17</f>
        <v>kg/cm2</v>
      </c>
      <c r="AC21" s="23" t="str">
        <f>IF(Y21&lt;=AD21,"&lt;","&gt;")</f>
        <v>&lt;</v>
      </c>
      <c r="AD21" s="264">
        <f>AD17</f>
        <v>1040.1105372374868</v>
      </c>
      <c r="AE21" s="264"/>
      <c r="AF21" s="264"/>
      <c r="AG21" s="410" t="str">
        <f>IF(ABS(Y21)&lt;=ABS(AD21),"OK !","NO !")</f>
        <v>OK !</v>
      </c>
      <c r="AH21" s="410"/>
      <c r="AI21" s="3"/>
      <c r="AJ21" s="3"/>
      <c r="AK21" s="3"/>
      <c r="AL21" s="3"/>
    </row>
    <row r="22" spans="1:29" ht="9.75" customHeight="1">
      <c r="A22" s="1"/>
      <c r="B22" s="1"/>
      <c r="C22" s="1"/>
      <c r="D22" s="1"/>
      <c r="E22" s="1"/>
      <c r="F22" s="1"/>
      <c r="G22" s="1"/>
      <c r="U22" s="1"/>
      <c r="AC22" s="3"/>
    </row>
    <row r="23" spans="1:28" ht="9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3"/>
      <c r="X23" s="3"/>
      <c r="Y23" s="3"/>
      <c r="Z23" s="3"/>
      <c r="AA23" s="3"/>
      <c r="AB23" s="3"/>
    </row>
    <row r="24" spans="1:29" ht="9.75" customHeight="1">
      <c r="A24" s="6"/>
      <c r="B24" s="6"/>
      <c r="C24" s="6"/>
      <c r="D24" s="7" t="s">
        <v>47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3"/>
      <c r="W24" s="3"/>
      <c r="X24" s="3"/>
      <c r="Y24" s="3"/>
      <c r="Z24" s="3"/>
      <c r="AA24" s="3"/>
      <c r="AB24" s="3"/>
      <c r="AC24" s="3"/>
    </row>
    <row r="25" spans="1:29" ht="9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3"/>
      <c r="W25" s="3"/>
      <c r="X25" s="3"/>
      <c r="Y25" s="3"/>
      <c r="Z25" s="3"/>
      <c r="AA25" s="3"/>
      <c r="AB25" s="3"/>
      <c r="AC25" s="3"/>
    </row>
    <row r="26" spans="1:29" ht="9.75" customHeight="1">
      <c r="A26" s="1"/>
      <c r="B26" s="1"/>
      <c r="C26" s="1"/>
      <c r="D26" s="1"/>
      <c r="E26" s="9" t="str">
        <f>E15</f>
        <v>Top / Bottom Plate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6"/>
      <c r="U26" s="6"/>
      <c r="AC26" s="3"/>
    </row>
    <row r="27" spans="1:29" ht="9.75" customHeight="1">
      <c r="A27" s="6"/>
      <c r="B27" s="6"/>
      <c r="C27" s="6"/>
      <c r="D27" s="6"/>
      <c r="E27" s="6"/>
      <c r="F27" s="6"/>
      <c r="G27" s="6"/>
      <c r="N27" s="6"/>
      <c r="O27" s="3"/>
      <c r="P27" s="6"/>
      <c r="Q27" s="3"/>
      <c r="R27" s="3"/>
      <c r="S27" s="3"/>
      <c r="T27" s="6"/>
      <c r="U27" s="6"/>
      <c r="V27" s="3"/>
      <c r="W27" s="3"/>
      <c r="X27" s="3"/>
      <c r="Y27" s="3"/>
      <c r="Z27" s="3"/>
      <c r="AA27" s="3"/>
      <c r="AB27" s="3"/>
      <c r="AC27" s="3"/>
    </row>
    <row r="28" spans="1:34" ht="9.75" customHeight="1">
      <c r="A28" s="1"/>
      <c r="B28" s="1"/>
      <c r="C28" s="1"/>
      <c r="D28" s="1"/>
      <c r="E28" s="1"/>
      <c r="F28" s="417" t="s">
        <v>199</v>
      </c>
      <c r="G28" s="417"/>
      <c r="H28" s="409" t="s">
        <v>46</v>
      </c>
      <c r="I28" s="239" t="s">
        <v>98</v>
      </c>
      <c r="J28" s="239"/>
      <c r="K28" s="411" t="s">
        <v>48</v>
      </c>
      <c r="L28" s="414" t="s">
        <v>56</v>
      </c>
      <c r="M28" s="414"/>
      <c r="N28" s="414"/>
      <c r="O28" s="414"/>
      <c r="P28" s="239" t="s">
        <v>58</v>
      </c>
      <c r="Q28" s="239"/>
      <c r="R28" s="239"/>
      <c r="S28" s="411" t="s">
        <v>52</v>
      </c>
      <c r="T28" s="239">
        <v>1</v>
      </c>
      <c r="U28" s="239"/>
      <c r="Z28" s="35" t="s">
        <v>186</v>
      </c>
      <c r="AC28" s="48" t="s">
        <v>46</v>
      </c>
      <c r="AD28" s="413">
        <f>I30*L30/I31/L31*(-1.5*Q30^2+U30^2*(1+Y30^2*AB30)/(1+AB31))/AE31</f>
        <v>262.0702145030598</v>
      </c>
      <c r="AE28" s="413"/>
      <c r="AF28" s="413"/>
      <c r="AG28" s="47" t="str">
        <f>AB17</f>
        <v>kg/cm2</v>
      </c>
      <c r="AH28" s="47"/>
    </row>
    <row r="29" spans="1:34" ht="9.75" customHeight="1">
      <c r="A29" s="1"/>
      <c r="B29" s="1"/>
      <c r="C29" s="1"/>
      <c r="D29" s="1"/>
      <c r="E29" s="1"/>
      <c r="F29" s="417"/>
      <c r="G29" s="417"/>
      <c r="H29" s="409"/>
      <c r="I29" s="256" t="s">
        <v>49</v>
      </c>
      <c r="J29" s="256"/>
      <c r="K29" s="411"/>
      <c r="L29" s="414"/>
      <c r="M29" s="414"/>
      <c r="N29" s="414"/>
      <c r="O29" s="414"/>
      <c r="P29" s="256" t="s">
        <v>50</v>
      </c>
      <c r="Q29" s="256"/>
      <c r="R29" s="256"/>
      <c r="S29" s="411"/>
      <c r="T29" s="256" t="s">
        <v>224</v>
      </c>
      <c r="U29" s="256"/>
      <c r="Z29" s="35" t="s">
        <v>187</v>
      </c>
      <c r="AC29" s="48" t="s">
        <v>46</v>
      </c>
      <c r="AD29" s="413">
        <f>I30*(-L30)/I31/L31*(-1.5*Q30^2+U30^2*(1+Y30^2*AB30)/(1+AB31))/AE31</f>
        <v>-262.0702145030598</v>
      </c>
      <c r="AE29" s="413"/>
      <c r="AF29" s="413"/>
      <c r="AG29" s="47" t="str">
        <f>AG28</f>
        <v>kg/cm2</v>
      </c>
      <c r="AH29" s="47"/>
    </row>
    <row r="30" spans="1:33" ht="9.75" customHeight="1">
      <c r="A30" s="1"/>
      <c r="B30" s="1"/>
      <c r="C30" s="1"/>
      <c r="D30" s="1"/>
      <c r="E30" s="1"/>
      <c r="F30" s="1"/>
      <c r="G30" s="1"/>
      <c r="H30" s="409" t="s">
        <v>46</v>
      </c>
      <c r="I30" s="239">
        <f>M17</f>
        <v>10</v>
      </c>
      <c r="J30" s="239"/>
      <c r="K30" s="19" t="s">
        <v>18</v>
      </c>
      <c r="L30" s="418">
        <f>sc_sco1</f>
        <v>-11</v>
      </c>
      <c r="M30" s="418"/>
      <c r="N30" s="411" t="s">
        <v>48</v>
      </c>
      <c r="O30" s="414" t="s">
        <v>53</v>
      </c>
      <c r="P30" s="414"/>
      <c r="Q30" s="411">
        <f>P21</f>
        <v>306</v>
      </c>
      <c r="R30" s="411"/>
      <c r="S30" s="409" t="s">
        <v>54</v>
      </c>
      <c r="T30" s="411" t="s">
        <v>55</v>
      </c>
      <c r="U30" s="411">
        <f>P17</f>
        <v>406</v>
      </c>
      <c r="V30" s="411"/>
      <c r="W30" s="409" t="s">
        <v>57</v>
      </c>
      <c r="X30" s="2" t="s">
        <v>59</v>
      </c>
      <c r="Y30" s="328">
        <f>sc_alpha</f>
        <v>0.7536945812807881</v>
      </c>
      <c r="Z30" s="328"/>
      <c r="AA30" s="29" t="s">
        <v>104</v>
      </c>
      <c r="AB30" s="328">
        <f>sc_kei</f>
        <v>2.319408718952748</v>
      </c>
      <c r="AC30" s="328"/>
      <c r="AD30" s="411" t="s">
        <v>52</v>
      </c>
      <c r="AE30" s="239">
        <v>1</v>
      </c>
      <c r="AF30" s="239"/>
      <c r="AG30" s="47"/>
    </row>
    <row r="31" spans="1:33" ht="9.75" customHeight="1">
      <c r="A31" s="6"/>
      <c r="B31" s="6"/>
      <c r="C31" s="6"/>
      <c r="D31" s="6"/>
      <c r="E31" s="6"/>
      <c r="F31" s="6"/>
      <c r="G31" s="6"/>
      <c r="H31" s="409"/>
      <c r="I31" s="256">
        <v>12</v>
      </c>
      <c r="J31" s="256"/>
      <c r="K31" s="20" t="s">
        <v>18</v>
      </c>
      <c r="L31" s="352">
        <f>sc_si1</f>
        <v>887.3333333333334</v>
      </c>
      <c r="M31" s="352"/>
      <c r="N31" s="411"/>
      <c r="O31" s="414"/>
      <c r="P31" s="414"/>
      <c r="Q31" s="411"/>
      <c r="R31" s="411"/>
      <c r="S31" s="409"/>
      <c r="T31" s="411"/>
      <c r="U31" s="411"/>
      <c r="V31" s="411"/>
      <c r="W31" s="409"/>
      <c r="X31" s="21" t="s">
        <v>59</v>
      </c>
      <c r="Y31" s="21"/>
      <c r="Z31" s="21"/>
      <c r="AA31" s="21"/>
      <c r="AB31" s="363">
        <f>AB30</f>
        <v>2.319408718952748</v>
      </c>
      <c r="AC31" s="363"/>
      <c r="AD31" s="411"/>
      <c r="AE31" s="256">
        <f>V17</f>
        <v>1</v>
      </c>
      <c r="AF31" s="256"/>
      <c r="AG31" s="47"/>
    </row>
    <row r="32" spans="1:29" ht="9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3"/>
      <c r="W32" s="3"/>
      <c r="X32" s="3"/>
      <c r="Y32" s="3"/>
      <c r="Z32" s="3"/>
      <c r="AA32" s="3"/>
      <c r="AB32" s="3"/>
      <c r="AC32" s="3"/>
    </row>
    <row r="33" spans="1:28" ht="9.75" customHeight="1">
      <c r="A33" s="6"/>
      <c r="B33" s="6"/>
      <c r="C33" s="6"/>
      <c r="D33" s="6"/>
      <c r="E33" s="1"/>
      <c r="F33" s="417" t="s">
        <v>200</v>
      </c>
      <c r="G33" s="417"/>
      <c r="H33" s="409" t="s">
        <v>46</v>
      </c>
      <c r="I33" s="419" t="s">
        <v>97</v>
      </c>
      <c r="J33" s="419"/>
      <c r="K33" s="411" t="s">
        <v>78</v>
      </c>
      <c r="L33" s="239" t="s">
        <v>58</v>
      </c>
      <c r="M33" s="239"/>
      <c r="N33" s="239"/>
      <c r="O33" s="411" t="s">
        <v>79</v>
      </c>
      <c r="P33" s="6"/>
      <c r="Q33" s="6"/>
      <c r="R33" s="6"/>
      <c r="S33" s="6"/>
      <c r="T33" s="6"/>
      <c r="U33" s="6"/>
      <c r="V33" s="3"/>
      <c r="W33" s="3"/>
      <c r="X33" s="3"/>
      <c r="Y33" s="3"/>
      <c r="Z33" s="3"/>
      <c r="AA33" s="3"/>
      <c r="AB33" s="3"/>
    </row>
    <row r="34" spans="1:28" ht="9.75" customHeight="1">
      <c r="A34" s="6"/>
      <c r="B34" s="6"/>
      <c r="C34" s="6"/>
      <c r="D34" s="6"/>
      <c r="E34" s="6"/>
      <c r="F34" s="417"/>
      <c r="G34" s="417"/>
      <c r="H34" s="409"/>
      <c r="I34" s="256" t="s">
        <v>49</v>
      </c>
      <c r="J34" s="256"/>
      <c r="K34" s="411"/>
      <c r="L34" s="256" t="s">
        <v>50</v>
      </c>
      <c r="M34" s="256"/>
      <c r="N34" s="256"/>
      <c r="O34" s="411"/>
      <c r="P34" s="6"/>
      <c r="Q34" s="6"/>
      <c r="R34" s="6"/>
      <c r="S34" s="6"/>
      <c r="T34" s="6"/>
      <c r="U34" s="6"/>
      <c r="V34" s="3"/>
      <c r="W34" s="3"/>
      <c r="X34" s="3"/>
      <c r="Y34" s="3"/>
      <c r="Z34" s="3"/>
      <c r="AA34" s="3"/>
      <c r="AB34" s="3"/>
    </row>
    <row r="35" spans="1:34" ht="9.75" customHeight="1">
      <c r="A35" s="1"/>
      <c r="B35" s="1"/>
      <c r="C35" s="1"/>
      <c r="D35" s="1"/>
      <c r="E35" s="1"/>
      <c r="F35" s="1"/>
      <c r="G35" s="1"/>
      <c r="H35" s="409" t="s">
        <v>46</v>
      </c>
      <c r="I35" s="239">
        <f>I30</f>
        <v>10</v>
      </c>
      <c r="J35" s="239"/>
      <c r="K35" s="1" t="s">
        <v>18</v>
      </c>
      <c r="L35" s="239">
        <f>U30</f>
        <v>406</v>
      </c>
      <c r="M35" s="239"/>
      <c r="N35" s="30" t="s">
        <v>60</v>
      </c>
      <c r="O35" s="418">
        <f>L30</f>
        <v>-11</v>
      </c>
      <c r="P35" s="418"/>
      <c r="Q35" s="411" t="s">
        <v>78</v>
      </c>
      <c r="R35" s="2" t="s">
        <v>59</v>
      </c>
      <c r="S35" s="328">
        <f>Y30</f>
        <v>0.7536945812807881</v>
      </c>
      <c r="T35" s="328"/>
      <c r="U35" s="29" t="s">
        <v>60</v>
      </c>
      <c r="V35" s="328">
        <f>AB30</f>
        <v>2.319408718952748</v>
      </c>
      <c r="W35" s="328"/>
      <c r="X35" s="411" t="s">
        <v>79</v>
      </c>
      <c r="Z35" s="35" t="s">
        <v>186</v>
      </c>
      <c r="AC35" s="48" t="s">
        <v>46</v>
      </c>
      <c r="AD35" s="413">
        <f>I35*L35^2*O35/I36/L36*(1+S35^2*V35)/(1+V36)</f>
        <v>-1188.9008598771054</v>
      </c>
      <c r="AE35" s="413"/>
      <c r="AF35" s="413"/>
      <c r="AG35" s="47" t="str">
        <f>AG28</f>
        <v>kg/cm2</v>
      </c>
      <c r="AH35" s="47"/>
    </row>
    <row r="36" spans="1:34" ht="9.75" customHeight="1">
      <c r="A36" s="6"/>
      <c r="B36" s="6"/>
      <c r="C36" s="6"/>
      <c r="D36" s="6"/>
      <c r="E36" s="6"/>
      <c r="F36" s="6"/>
      <c r="G36" s="6"/>
      <c r="H36" s="409"/>
      <c r="I36" s="256">
        <v>12</v>
      </c>
      <c r="J36" s="256"/>
      <c r="K36" s="21" t="s">
        <v>18</v>
      </c>
      <c r="L36" s="352">
        <f>L31</f>
        <v>887.3333333333334</v>
      </c>
      <c r="M36" s="256"/>
      <c r="N36" s="21"/>
      <c r="O36" s="21"/>
      <c r="P36" s="21"/>
      <c r="Q36" s="411"/>
      <c r="R36" s="21" t="s">
        <v>59</v>
      </c>
      <c r="S36" s="21"/>
      <c r="T36" s="21"/>
      <c r="U36" s="21"/>
      <c r="V36" s="363">
        <f>AB31</f>
        <v>2.319408718952748</v>
      </c>
      <c r="W36" s="363"/>
      <c r="X36" s="411"/>
      <c r="Y36" s="3"/>
      <c r="Z36" s="35" t="s">
        <v>187</v>
      </c>
      <c r="AA36" s="3"/>
      <c r="AC36" s="48" t="s">
        <v>46</v>
      </c>
      <c r="AD36" s="413">
        <f>I35*L35^2*(-O35)/I36/L36*(1+S35^2*V35)/(1+V36)</f>
        <v>1188.9008598771054</v>
      </c>
      <c r="AE36" s="413"/>
      <c r="AF36" s="413"/>
      <c r="AG36" s="47" t="str">
        <f>AG35</f>
        <v>kg/cm2</v>
      </c>
      <c r="AH36" s="47"/>
    </row>
    <row r="37" spans="1:29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AC37" s="3"/>
    </row>
    <row r="38" spans="1:29" ht="9.75" customHeight="1">
      <c r="A38" s="1"/>
      <c r="B38" s="1"/>
      <c r="C38" s="1"/>
      <c r="D38" s="1"/>
      <c r="E38" s="9" t="str">
        <f>E19</f>
        <v>Cover Plate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AC38" s="3"/>
    </row>
    <row r="39" spans="1:29" ht="9.75" customHeight="1">
      <c r="A39" s="6"/>
      <c r="B39" s="6"/>
      <c r="C39" s="6"/>
      <c r="D39" s="6"/>
      <c r="E39" s="6"/>
      <c r="F39" s="6"/>
      <c r="G39" s="6"/>
      <c r="N39" s="6"/>
      <c r="O39" s="6"/>
      <c r="P39" s="6"/>
      <c r="Q39" s="6"/>
      <c r="R39" s="6"/>
      <c r="S39" s="6"/>
      <c r="T39" s="6"/>
      <c r="U39" s="6"/>
      <c r="V39" s="3"/>
      <c r="W39" s="3"/>
      <c r="X39" s="3"/>
      <c r="Y39" s="3"/>
      <c r="Z39" s="3"/>
      <c r="AA39" s="3"/>
      <c r="AB39" s="3"/>
      <c r="AC39" s="3"/>
    </row>
    <row r="40" spans="1:33" ht="9.75" customHeight="1">
      <c r="A40" s="1"/>
      <c r="B40" s="1"/>
      <c r="C40" s="1"/>
      <c r="D40" s="1"/>
      <c r="E40" s="1"/>
      <c r="F40" s="417" t="s">
        <v>201</v>
      </c>
      <c r="G40" s="417"/>
      <c r="H40" s="409" t="s">
        <v>46</v>
      </c>
      <c r="I40" s="419" t="s">
        <v>77</v>
      </c>
      <c r="J40" s="419"/>
      <c r="K40" s="411" t="s">
        <v>48</v>
      </c>
      <c r="L40" s="414" t="s">
        <v>80</v>
      </c>
      <c r="M40" s="414"/>
      <c r="N40" s="239" t="s">
        <v>58</v>
      </c>
      <c r="O40" s="239"/>
      <c r="P40" s="239"/>
      <c r="Q40" s="411" t="s">
        <v>51</v>
      </c>
      <c r="R40" s="239">
        <v>1</v>
      </c>
      <c r="S40" s="239"/>
      <c r="T40" s="22"/>
      <c r="U40" s="1"/>
      <c r="AA40" s="35" t="s">
        <v>188</v>
      </c>
      <c r="AC40" s="48" t="s">
        <v>46</v>
      </c>
      <c r="AD40" s="413">
        <f>I42*L42^2*O42/I43/L43*(-1.5+(1+U42^2*X42)/(1+X43))/AA43</f>
        <v>645.353499823712</v>
      </c>
      <c r="AE40" s="413"/>
      <c r="AF40" s="413"/>
      <c r="AG40" s="47" t="str">
        <f>AB21</f>
        <v>kg/cm2</v>
      </c>
    </row>
    <row r="41" spans="1:33" ht="9.75" customHeight="1">
      <c r="A41" s="1"/>
      <c r="B41" s="1"/>
      <c r="C41" s="1"/>
      <c r="D41" s="1"/>
      <c r="E41" s="1"/>
      <c r="F41" s="417"/>
      <c r="G41" s="417"/>
      <c r="H41" s="409"/>
      <c r="I41" s="256" t="s">
        <v>81</v>
      </c>
      <c r="J41" s="256"/>
      <c r="K41" s="411"/>
      <c r="L41" s="414"/>
      <c r="M41" s="414"/>
      <c r="N41" s="256" t="s">
        <v>50</v>
      </c>
      <c r="O41" s="256"/>
      <c r="P41" s="256"/>
      <c r="Q41" s="411"/>
      <c r="R41" s="256" t="s">
        <v>223</v>
      </c>
      <c r="S41" s="256"/>
      <c r="T41" s="22"/>
      <c r="U41" s="1"/>
      <c r="AA41" s="67" t="s">
        <v>190</v>
      </c>
      <c r="AC41" s="48" t="s">
        <v>46</v>
      </c>
      <c r="AD41" s="413">
        <f>I42*L42^2*(-O42)/I43/L43*(-1.5+(1+U42^2*X42)/(1+X43))/AA43</f>
        <v>-645.353499823712</v>
      </c>
      <c r="AE41" s="413"/>
      <c r="AF41" s="413"/>
      <c r="AG41" s="47" t="str">
        <f>AG40</f>
        <v>kg/cm2</v>
      </c>
    </row>
    <row r="42" spans="1:34" ht="9.75" customHeight="1">
      <c r="A42" s="1"/>
      <c r="B42" s="1"/>
      <c r="C42" s="1"/>
      <c r="D42" s="1"/>
      <c r="E42" s="1"/>
      <c r="F42" s="1"/>
      <c r="G42" s="1"/>
      <c r="H42" s="409" t="s">
        <v>46</v>
      </c>
      <c r="I42" s="239">
        <f>M21</f>
        <v>10</v>
      </c>
      <c r="J42" s="239"/>
      <c r="K42" s="1" t="s">
        <v>18</v>
      </c>
      <c r="L42" s="239">
        <f>L35</f>
        <v>406</v>
      </c>
      <c r="M42" s="239"/>
      <c r="N42" s="30" t="s">
        <v>60</v>
      </c>
      <c r="O42" s="418">
        <f>sc_lco2</f>
        <v>-16</v>
      </c>
      <c r="P42" s="418"/>
      <c r="Q42" s="411" t="s">
        <v>48</v>
      </c>
      <c r="R42" s="414" t="s">
        <v>159</v>
      </c>
      <c r="S42" s="414"/>
      <c r="T42" s="2" t="s">
        <v>59</v>
      </c>
      <c r="U42" s="328">
        <f>S35</f>
        <v>0.7536945812807881</v>
      </c>
      <c r="V42" s="328"/>
      <c r="W42" s="29" t="s">
        <v>60</v>
      </c>
      <c r="X42" s="328">
        <f>V35</f>
        <v>2.319408718952748</v>
      </c>
      <c r="Y42" s="328"/>
      <c r="Z42" s="411" t="s">
        <v>51</v>
      </c>
      <c r="AA42" s="239">
        <v>1</v>
      </c>
      <c r="AB42" s="239"/>
      <c r="AC42" s="47"/>
      <c r="AH42" s="47"/>
    </row>
    <row r="43" spans="1:34" ht="9.75" customHeight="1">
      <c r="A43" s="6"/>
      <c r="B43" s="6"/>
      <c r="C43" s="6"/>
      <c r="D43" s="6"/>
      <c r="E43" s="6"/>
      <c r="F43" s="6"/>
      <c r="G43" s="6"/>
      <c r="H43" s="409"/>
      <c r="I43" s="256">
        <v>12</v>
      </c>
      <c r="J43" s="256"/>
      <c r="K43" s="21" t="s">
        <v>18</v>
      </c>
      <c r="L43" s="352">
        <f>sc_li2</f>
        <v>2730.6666666666665</v>
      </c>
      <c r="M43" s="256"/>
      <c r="N43" s="21"/>
      <c r="O43" s="21"/>
      <c r="P43" s="21"/>
      <c r="Q43" s="411"/>
      <c r="R43" s="414"/>
      <c r="S43" s="414"/>
      <c r="T43" s="21" t="s">
        <v>59</v>
      </c>
      <c r="U43" s="21"/>
      <c r="V43" s="21"/>
      <c r="W43" s="21"/>
      <c r="X43" s="363">
        <f>V36</f>
        <v>2.319408718952748</v>
      </c>
      <c r="Y43" s="363"/>
      <c r="Z43" s="411"/>
      <c r="AA43" s="363">
        <f>V21</f>
        <v>1</v>
      </c>
      <c r="AB43" s="363"/>
      <c r="AC43" s="47"/>
      <c r="AH43" s="47"/>
    </row>
    <row r="44" spans="1:32" ht="9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AC44" s="3"/>
      <c r="AD44" s="66"/>
      <c r="AE44" s="66"/>
      <c r="AF44" s="66"/>
    </row>
    <row r="45" spans="1:28" ht="9.75" customHeight="1">
      <c r="A45" s="6"/>
      <c r="B45" s="6"/>
      <c r="C45" s="6"/>
      <c r="D45" s="6"/>
      <c r="E45" s="6"/>
      <c r="F45" s="417" t="s">
        <v>202</v>
      </c>
      <c r="G45" s="417"/>
      <c r="H45" s="409" t="s">
        <v>46</v>
      </c>
      <c r="I45" s="419" t="s">
        <v>77</v>
      </c>
      <c r="J45" s="419"/>
      <c r="K45" s="411" t="s">
        <v>78</v>
      </c>
      <c r="L45" s="239" t="s">
        <v>58</v>
      </c>
      <c r="M45" s="239"/>
      <c r="N45" s="239"/>
      <c r="O45" s="411" t="s">
        <v>79</v>
      </c>
      <c r="P45" s="6"/>
      <c r="Q45" s="6"/>
      <c r="R45" s="6"/>
      <c r="S45" s="6"/>
      <c r="T45" s="6"/>
      <c r="U45" s="6"/>
      <c r="V45" s="3"/>
      <c r="W45" s="3"/>
      <c r="X45" s="3"/>
      <c r="Y45" s="3"/>
      <c r="Z45" s="3"/>
      <c r="AA45" s="3"/>
      <c r="AB45" s="3"/>
    </row>
    <row r="46" spans="1:28" ht="9.75" customHeight="1">
      <c r="A46" s="6"/>
      <c r="B46" s="6"/>
      <c r="C46" s="6"/>
      <c r="D46" s="6"/>
      <c r="E46" s="6"/>
      <c r="F46" s="417"/>
      <c r="G46" s="417"/>
      <c r="H46" s="409"/>
      <c r="I46" s="256" t="s">
        <v>81</v>
      </c>
      <c r="J46" s="256"/>
      <c r="K46" s="411"/>
      <c r="L46" s="256" t="s">
        <v>50</v>
      </c>
      <c r="M46" s="256"/>
      <c r="N46" s="256"/>
      <c r="O46" s="411"/>
      <c r="P46" s="6"/>
      <c r="Q46" s="6"/>
      <c r="R46" s="6"/>
      <c r="S46" s="6"/>
      <c r="T46" s="6"/>
      <c r="U46" s="6"/>
      <c r="V46" s="3"/>
      <c r="W46" s="3"/>
      <c r="X46" s="3"/>
      <c r="Y46" s="3"/>
      <c r="Z46" s="3"/>
      <c r="AA46" s="3"/>
      <c r="AB46" s="3"/>
    </row>
    <row r="47" spans="1:34" ht="9.75" customHeight="1">
      <c r="A47" s="1"/>
      <c r="B47" s="1"/>
      <c r="C47" s="1"/>
      <c r="D47" s="1"/>
      <c r="E47" s="1"/>
      <c r="F47" s="1"/>
      <c r="G47" s="1"/>
      <c r="H47" s="409" t="s">
        <v>46</v>
      </c>
      <c r="I47" s="239">
        <f>I42</f>
        <v>10</v>
      </c>
      <c r="J47" s="239"/>
      <c r="K47" s="1" t="s">
        <v>18</v>
      </c>
      <c r="L47" s="239">
        <f>L42</f>
        <v>406</v>
      </c>
      <c r="M47" s="239"/>
      <c r="N47" s="1" t="s">
        <v>60</v>
      </c>
      <c r="O47" s="418">
        <f>O42</f>
        <v>-16</v>
      </c>
      <c r="P47" s="418"/>
      <c r="Q47" s="411" t="s">
        <v>78</v>
      </c>
      <c r="R47" s="2" t="s">
        <v>59</v>
      </c>
      <c r="S47" s="328">
        <f>U42</f>
        <v>0.7536945812807881</v>
      </c>
      <c r="T47" s="328"/>
      <c r="U47" s="29" t="s">
        <v>60</v>
      </c>
      <c r="V47" s="328">
        <f>X42</f>
        <v>2.319408718952748</v>
      </c>
      <c r="W47" s="328"/>
      <c r="X47" s="411" t="s">
        <v>79</v>
      </c>
      <c r="Z47" s="35" t="s">
        <v>186</v>
      </c>
      <c r="AC47" s="48" t="s">
        <v>46</v>
      </c>
      <c r="AD47" s="413">
        <f>I47*L47^2*O47/I48/L48*(1+S47^2*V47)/(1+V48)</f>
        <v>-561.9414220512882</v>
      </c>
      <c r="AE47" s="413"/>
      <c r="AF47" s="413"/>
      <c r="AG47" s="47" t="str">
        <f>AG40</f>
        <v>kg/cm2</v>
      </c>
      <c r="AH47" s="47"/>
    </row>
    <row r="48" spans="1:34" ht="9.75" customHeight="1">
      <c r="A48" s="6"/>
      <c r="B48" s="6"/>
      <c r="C48" s="6"/>
      <c r="D48" s="6"/>
      <c r="E48" s="6"/>
      <c r="F48" s="6"/>
      <c r="G48" s="6"/>
      <c r="H48" s="409"/>
      <c r="I48" s="256">
        <v>12</v>
      </c>
      <c r="J48" s="256"/>
      <c r="K48" s="21" t="s">
        <v>18</v>
      </c>
      <c r="L48" s="352">
        <f>L43</f>
        <v>2730.6666666666665</v>
      </c>
      <c r="M48" s="256"/>
      <c r="N48" s="21"/>
      <c r="O48" s="21"/>
      <c r="P48" s="21"/>
      <c r="Q48" s="411"/>
      <c r="R48" s="21" t="s">
        <v>59</v>
      </c>
      <c r="S48" s="21"/>
      <c r="T48" s="21"/>
      <c r="U48" s="21"/>
      <c r="V48" s="363">
        <f>X43</f>
        <v>2.319408718952748</v>
      </c>
      <c r="W48" s="363"/>
      <c r="X48" s="411"/>
      <c r="Y48" s="3"/>
      <c r="Z48" s="35" t="s">
        <v>187</v>
      </c>
      <c r="AA48" s="3"/>
      <c r="AC48" s="48" t="s">
        <v>46</v>
      </c>
      <c r="AD48" s="413">
        <f>I47*L47^2*(-O47)/I48/L48*(1+S47^2*V47)/(1+V48)</f>
        <v>561.9414220512882</v>
      </c>
      <c r="AE48" s="413"/>
      <c r="AF48" s="413"/>
      <c r="AG48" s="47" t="str">
        <f>AG47</f>
        <v>kg/cm2</v>
      </c>
      <c r="AH48" s="47"/>
    </row>
    <row r="49" spans="1:29" ht="9.75" customHeight="1">
      <c r="A49" s="1"/>
      <c r="B49" s="1"/>
      <c r="C49" s="1"/>
      <c r="D49" s="1"/>
      <c r="E49" s="1"/>
      <c r="F49" s="1"/>
      <c r="G49" s="1"/>
      <c r="N49" s="1"/>
      <c r="O49" s="1"/>
      <c r="P49" s="1"/>
      <c r="Q49" s="1"/>
      <c r="R49" s="1"/>
      <c r="S49" s="1"/>
      <c r="T49" s="1"/>
      <c r="U49" s="1"/>
      <c r="AC49" s="3"/>
    </row>
    <row r="50" spans="1:29" ht="9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3"/>
      <c r="W50" s="3"/>
      <c r="X50" s="3"/>
      <c r="Y50" s="3"/>
      <c r="Z50" s="3"/>
      <c r="AA50" s="3"/>
      <c r="AB50" s="3"/>
      <c r="AC50" s="3"/>
    </row>
    <row r="51" spans="1:29" ht="9.75" customHeight="1">
      <c r="A51" s="1"/>
      <c r="B51" s="1"/>
      <c r="C51" s="1"/>
      <c r="D51" s="9" t="s">
        <v>82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AC51" s="3"/>
    </row>
    <row r="52" spans="1:29" ht="9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3"/>
      <c r="W52" s="3"/>
      <c r="X52" s="3"/>
      <c r="Y52" s="3"/>
      <c r="Z52" s="3"/>
      <c r="AA52" s="3"/>
      <c r="AB52" s="3"/>
      <c r="AC52" s="3"/>
    </row>
    <row r="53" spans="1:37" ht="9.75" customHeight="1">
      <c r="A53" s="1"/>
      <c r="B53" s="1"/>
      <c r="C53" s="1"/>
      <c r="D53" s="1"/>
      <c r="E53" s="9" t="str">
        <f>E15</f>
        <v>Top / Bottom Plate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AC53" s="3"/>
      <c r="AD53" s="341">
        <v>1.5</v>
      </c>
      <c r="AE53" s="341"/>
      <c r="AF53" s="27" t="s">
        <v>102</v>
      </c>
      <c r="AJ53" s="239" t="s">
        <v>228</v>
      </c>
      <c r="AK53" s="239"/>
    </row>
    <row r="54" spans="1:37" ht="9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AC54" s="3"/>
      <c r="AJ54" s="416" t="s">
        <v>229</v>
      </c>
      <c r="AK54" s="416"/>
    </row>
    <row r="55" spans="1:37" ht="9.75" customHeight="1">
      <c r="A55" s="1"/>
      <c r="B55" s="1"/>
      <c r="C55" s="1"/>
      <c r="D55" s="1"/>
      <c r="E55" s="1"/>
      <c r="F55" s="9" t="s">
        <v>83</v>
      </c>
      <c r="G55" s="1"/>
      <c r="H55" s="1" t="s">
        <v>46</v>
      </c>
      <c r="I55" s="288" t="str">
        <f>F17</f>
        <v>SmS</v>
      </c>
      <c r="J55" s="288"/>
      <c r="K55" s="19" t="s">
        <v>100</v>
      </c>
      <c r="L55" s="288" t="str">
        <f>F28</f>
        <v>(Sb)N</v>
      </c>
      <c r="M55" s="288"/>
      <c r="N55" s="19" t="s">
        <v>46</v>
      </c>
      <c r="O55" s="318">
        <f>Y17</f>
        <v>92.27272727272727</v>
      </c>
      <c r="P55" s="318"/>
      <c r="Q55" s="318"/>
      <c r="R55" s="19" t="s">
        <v>84</v>
      </c>
      <c r="S55" s="318">
        <f>AD28</f>
        <v>262.0702145030598</v>
      </c>
      <c r="T55" s="318"/>
      <c r="U55" s="318"/>
      <c r="V55" s="35" t="s">
        <v>188</v>
      </c>
      <c r="X55" s="8" t="s">
        <v>85</v>
      </c>
      <c r="Y55" s="412">
        <f>O55+S55</f>
        <v>354.34294177578704</v>
      </c>
      <c r="Z55" s="412"/>
      <c r="AA55" s="412"/>
      <c r="AB55" s="2" t="str">
        <f>AG29</f>
        <v>kg/cm2</v>
      </c>
      <c r="AC55" s="23" t="str">
        <f>IF(ABS(Y55)&lt;=ABS(AD55),"&lt;","&gt;")</f>
        <v>&lt;</v>
      </c>
      <c r="AD55" s="264">
        <f>AD53*AD17</f>
        <v>1560.1658058562302</v>
      </c>
      <c r="AE55" s="264"/>
      <c r="AF55" s="264"/>
      <c r="AG55" s="410" t="str">
        <f>IF(ABS(Y55)&lt;=ABS(AD55),"OK !","NO !")</f>
        <v>OK !</v>
      </c>
      <c r="AH55" s="410"/>
      <c r="AJ55" s="328">
        <f>ABS(Y55/AD55)</f>
        <v>0.22711877189317137</v>
      </c>
      <c r="AK55" s="328"/>
    </row>
    <row r="56" spans="1:37" ht="9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19" t="s">
        <v>46</v>
      </c>
      <c r="O56" s="318">
        <f>O55</f>
        <v>92.27272727272727</v>
      </c>
      <c r="P56" s="318"/>
      <c r="Q56" s="318"/>
      <c r="R56" s="19" t="s">
        <v>84</v>
      </c>
      <c r="S56" s="318">
        <f>AD29</f>
        <v>-262.0702145030598</v>
      </c>
      <c r="T56" s="318"/>
      <c r="U56" s="318"/>
      <c r="V56" s="67" t="s">
        <v>189</v>
      </c>
      <c r="W56" s="3"/>
      <c r="X56" s="8" t="s">
        <v>85</v>
      </c>
      <c r="Y56" s="412">
        <f>O56+S56</f>
        <v>-169.79748723033254</v>
      </c>
      <c r="Z56" s="412"/>
      <c r="AA56" s="412"/>
      <c r="AB56" s="2" t="str">
        <f>AB55</f>
        <v>kg/cm2</v>
      </c>
      <c r="AC56" s="23" t="str">
        <f>IF(ABS(Y56)&lt;=ABS(AD56),"&lt;","&gt;")</f>
        <v>&lt;</v>
      </c>
      <c r="AD56" s="264">
        <f>AD55</f>
        <v>1560.1658058562302</v>
      </c>
      <c r="AE56" s="264"/>
      <c r="AF56" s="264"/>
      <c r="AG56" s="410" t="str">
        <f>IF(ABS(Y56)&lt;=ABS(AD56),"OK !","NO !")</f>
        <v>OK !</v>
      </c>
      <c r="AH56" s="410"/>
      <c r="AJ56" s="328">
        <f>ABS(Y56/AD56)</f>
        <v>0.10883297569590461</v>
      </c>
      <c r="AK56" s="328"/>
    </row>
    <row r="57" spans="1:29" ht="9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3"/>
      <c r="W57" s="3"/>
      <c r="X57" s="3"/>
      <c r="Y57" s="3"/>
      <c r="Z57" s="3"/>
      <c r="AA57" s="3"/>
      <c r="AB57" s="3"/>
      <c r="AC57" s="3"/>
    </row>
    <row r="58" spans="1:37" ht="9.75" customHeight="1">
      <c r="A58" s="1"/>
      <c r="B58" s="1"/>
      <c r="C58" s="1"/>
      <c r="D58" s="1"/>
      <c r="E58" s="1"/>
      <c r="F58" s="9" t="s">
        <v>86</v>
      </c>
      <c r="G58" s="1"/>
      <c r="H58" s="1" t="s">
        <v>46</v>
      </c>
      <c r="I58" s="288" t="str">
        <f>F17</f>
        <v>SmS</v>
      </c>
      <c r="J58" s="288"/>
      <c r="K58" s="19" t="s">
        <v>100</v>
      </c>
      <c r="L58" s="288" t="str">
        <f>F33</f>
        <v>(Sb)QS</v>
      </c>
      <c r="M58" s="288"/>
      <c r="N58" s="19" t="s">
        <v>46</v>
      </c>
      <c r="O58" s="318">
        <f>Y17</f>
        <v>92.27272727272727</v>
      </c>
      <c r="P58" s="318"/>
      <c r="Q58" s="318"/>
      <c r="R58" s="19" t="s">
        <v>84</v>
      </c>
      <c r="S58" s="318">
        <f>AD35</f>
        <v>-1188.9008598771054</v>
      </c>
      <c r="T58" s="318"/>
      <c r="U58" s="318"/>
      <c r="V58" s="35" t="s">
        <v>188</v>
      </c>
      <c r="X58" s="8" t="s">
        <v>85</v>
      </c>
      <c r="Y58" s="412">
        <f>O58+S58</f>
        <v>-1096.6281326043782</v>
      </c>
      <c r="Z58" s="412"/>
      <c r="AA58" s="412"/>
      <c r="AB58" s="2" t="str">
        <f>AG36</f>
        <v>kg/cm2</v>
      </c>
      <c r="AC58" s="23" t="str">
        <f>IF(ABS(Y58)&lt;=ABS(AD58),"&lt;","&gt;")</f>
        <v>&lt;</v>
      </c>
      <c r="AD58" s="264">
        <f>AD55</f>
        <v>1560.1658058562302</v>
      </c>
      <c r="AE58" s="264"/>
      <c r="AF58" s="264"/>
      <c r="AG58" s="410" t="str">
        <f>IF(ABS(Y58)&lt;=ABS(AD58),"OK !","NO !")</f>
        <v>OK !</v>
      </c>
      <c r="AH58" s="410"/>
      <c r="AJ58" s="328">
        <f>ABS(Y58/AD58)</f>
        <v>0.702892044222531</v>
      </c>
      <c r="AK58" s="328"/>
    </row>
    <row r="59" spans="1:50" ht="9.75" customHeight="1">
      <c r="A59" s="6"/>
      <c r="B59" s="6"/>
      <c r="C59" s="6"/>
      <c r="D59" s="6"/>
      <c r="E59" s="6"/>
      <c r="F59" s="6"/>
      <c r="G59" s="6"/>
      <c r="N59" s="19" t="s">
        <v>46</v>
      </c>
      <c r="O59" s="318">
        <f>O58</f>
        <v>92.27272727272727</v>
      </c>
      <c r="P59" s="318"/>
      <c r="Q59" s="318"/>
      <c r="R59" s="19" t="s">
        <v>84</v>
      </c>
      <c r="S59" s="318">
        <f>AD36</f>
        <v>1188.9008598771054</v>
      </c>
      <c r="T59" s="318"/>
      <c r="U59" s="318"/>
      <c r="V59" s="67" t="s">
        <v>189</v>
      </c>
      <c r="W59" s="3"/>
      <c r="X59" s="8" t="s">
        <v>85</v>
      </c>
      <c r="Y59" s="412">
        <f>O59+S59</f>
        <v>1281.1735871498327</v>
      </c>
      <c r="Z59" s="412"/>
      <c r="AA59" s="412"/>
      <c r="AB59" s="2" t="str">
        <f>AB58</f>
        <v>kg/cm2</v>
      </c>
      <c r="AC59" s="23" t="str">
        <f>IF(ABS(Y59)&lt;=ABS(AD59),"&lt;","&gt;")</f>
        <v>&lt;</v>
      </c>
      <c r="AD59" s="264">
        <f>AD58</f>
        <v>1560.1658058562302</v>
      </c>
      <c r="AE59" s="264"/>
      <c r="AF59" s="264"/>
      <c r="AG59" s="410" t="str">
        <f>IF(ABS(Y59)&lt;=ABS(AD59),"OK !","NO !")</f>
        <v>OK !</v>
      </c>
      <c r="AH59" s="410"/>
      <c r="AJ59" s="328">
        <f>ABS(Y59/AD59)</f>
        <v>0.8211778404197978</v>
      </c>
      <c r="AK59" s="328"/>
      <c r="AX59" s="3"/>
    </row>
    <row r="60" spans="1:37" ht="9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3"/>
      <c r="W60" s="3"/>
      <c r="X60" s="145" t="s">
        <v>469</v>
      </c>
      <c r="Y60" s="420">
        <f>MAX(ABS(Y55),ABS(Y56),ABS(Y58),ABS(Y59))</f>
        <v>1281.1735871498327</v>
      </c>
      <c r="Z60" s="420"/>
      <c r="AA60" s="420"/>
      <c r="AC60" s="3"/>
      <c r="AD60" s="68"/>
      <c r="AE60" s="68"/>
      <c r="AF60" s="68"/>
      <c r="AJ60" s="421">
        <f>MAX(ABS(AJ55),ABS(AJ56),ABS(AJ58),ABS(AJ59))</f>
        <v>0.8211778404197978</v>
      </c>
      <c r="AK60" s="421"/>
    </row>
    <row r="61" spans="1:32" ht="9.75" customHeight="1">
      <c r="A61" s="6"/>
      <c r="B61" s="6"/>
      <c r="C61" s="6"/>
      <c r="D61" s="6"/>
      <c r="E61" s="9" t="str">
        <f>E19</f>
        <v>Cover Plate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3"/>
      <c r="W61" s="3"/>
      <c r="X61" s="3"/>
      <c r="AC61" s="3"/>
      <c r="AD61" s="3"/>
      <c r="AE61" s="3"/>
      <c r="AF61" s="3"/>
    </row>
    <row r="62" spans="1:25" ht="9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Y62" s="3"/>
    </row>
    <row r="63" spans="1:37" ht="9.75" customHeight="1">
      <c r="A63" s="6"/>
      <c r="B63" s="6"/>
      <c r="C63" s="6"/>
      <c r="D63" s="6"/>
      <c r="E63" s="6"/>
      <c r="F63" s="9" t="s">
        <v>87</v>
      </c>
      <c r="G63" s="1"/>
      <c r="H63" s="1" t="s">
        <v>46</v>
      </c>
      <c r="I63" s="288" t="str">
        <f>F21</f>
        <v>SmL</v>
      </c>
      <c r="J63" s="288"/>
      <c r="K63" s="19" t="s">
        <v>100</v>
      </c>
      <c r="L63" s="288" t="str">
        <f>F40</f>
        <v>(Sb)M</v>
      </c>
      <c r="M63" s="288"/>
      <c r="N63" s="19" t="s">
        <v>46</v>
      </c>
      <c r="O63" s="318">
        <f>Y21</f>
        <v>47.8125</v>
      </c>
      <c r="P63" s="318"/>
      <c r="Q63" s="318"/>
      <c r="R63" s="19" t="s">
        <v>84</v>
      </c>
      <c r="S63" s="318">
        <f>AD40</f>
        <v>645.353499823712</v>
      </c>
      <c r="T63" s="318"/>
      <c r="U63" s="318"/>
      <c r="V63" s="35" t="s">
        <v>188</v>
      </c>
      <c r="X63" s="8" t="s">
        <v>85</v>
      </c>
      <c r="Y63" s="412">
        <f>O63+S63</f>
        <v>693.165999823712</v>
      </c>
      <c r="Z63" s="412"/>
      <c r="AA63" s="412"/>
      <c r="AB63" s="2" t="str">
        <f>AG41</f>
        <v>kg/cm2</v>
      </c>
      <c r="AC63" s="23" t="str">
        <f>IF(ABS(Y63)&lt;=ABS(AD63),"&lt;","&gt;")</f>
        <v>&lt;</v>
      </c>
      <c r="AD63" s="264">
        <f>AD53*AD21</f>
        <v>1560.1658058562302</v>
      </c>
      <c r="AE63" s="264"/>
      <c r="AF63" s="264"/>
      <c r="AG63" s="410" t="str">
        <f>IF(ABS(Y63)&lt;=ABS(AD63),"OK !","NO !")</f>
        <v>OK !</v>
      </c>
      <c r="AH63" s="410"/>
      <c r="AJ63" s="328">
        <f>ABS(Y63/AD63)</f>
        <v>0.4442899576582487</v>
      </c>
      <c r="AK63" s="328"/>
    </row>
    <row r="64" spans="1:37" ht="9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19" t="s">
        <v>46</v>
      </c>
      <c r="O64" s="318">
        <f>O63</f>
        <v>47.8125</v>
      </c>
      <c r="P64" s="318"/>
      <c r="Q64" s="318"/>
      <c r="R64" s="19" t="s">
        <v>84</v>
      </c>
      <c r="S64" s="318">
        <f>AD41</f>
        <v>-645.353499823712</v>
      </c>
      <c r="T64" s="318"/>
      <c r="U64" s="318"/>
      <c r="V64" s="67" t="s">
        <v>189</v>
      </c>
      <c r="W64" s="3"/>
      <c r="X64" s="8" t="s">
        <v>85</v>
      </c>
      <c r="Y64" s="412">
        <f>O64+S64</f>
        <v>-597.540999823712</v>
      </c>
      <c r="Z64" s="412"/>
      <c r="AA64" s="412"/>
      <c r="AB64" s="2" t="str">
        <f>AB63</f>
        <v>kg/cm2</v>
      </c>
      <c r="AC64" s="23" t="str">
        <f>IF(ABS(Y64)&lt;=ABS(AD64),"&lt;","&gt;")</f>
        <v>&lt;</v>
      </c>
      <c r="AD64" s="264">
        <f>AD63</f>
        <v>1560.1658058562302</v>
      </c>
      <c r="AE64" s="264"/>
      <c r="AF64" s="264"/>
      <c r="AG64" s="410" t="str">
        <f>IF(ABS(Y64)&lt;=ABS(AD64),"OK !","NO !")</f>
        <v>OK !</v>
      </c>
      <c r="AH64" s="410"/>
      <c r="AJ64" s="328">
        <f>ABS(Y64/AD64)</f>
        <v>0.38299839515824874</v>
      </c>
      <c r="AK64" s="328"/>
    </row>
    <row r="65" spans="1:32" ht="9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AD65" s="69"/>
      <c r="AE65" s="69"/>
      <c r="AF65" s="69"/>
    </row>
    <row r="66" spans="1:37" ht="9.75" customHeight="1">
      <c r="A66" s="1"/>
      <c r="B66" s="1"/>
      <c r="C66" s="1"/>
      <c r="D66" s="1"/>
      <c r="E66" s="1"/>
      <c r="F66" s="9" t="s">
        <v>86</v>
      </c>
      <c r="G66" s="1"/>
      <c r="H66" s="1" t="s">
        <v>46</v>
      </c>
      <c r="I66" s="288" t="str">
        <f>F21</f>
        <v>SmL</v>
      </c>
      <c r="J66" s="288"/>
      <c r="K66" s="19" t="s">
        <v>100</v>
      </c>
      <c r="L66" s="288" t="str">
        <f>F45</f>
        <v>(Sb)QL</v>
      </c>
      <c r="M66" s="288"/>
      <c r="N66" s="19" t="s">
        <v>46</v>
      </c>
      <c r="O66" s="318">
        <f>Y21</f>
        <v>47.8125</v>
      </c>
      <c r="P66" s="318"/>
      <c r="Q66" s="318"/>
      <c r="R66" s="19" t="s">
        <v>84</v>
      </c>
      <c r="S66" s="318">
        <f>AD47</f>
        <v>-561.9414220512882</v>
      </c>
      <c r="T66" s="318"/>
      <c r="U66" s="318"/>
      <c r="V66" s="35" t="s">
        <v>188</v>
      </c>
      <c r="X66" s="8" t="s">
        <v>85</v>
      </c>
      <c r="Y66" s="412">
        <f>O66+S66</f>
        <v>-514.1289220512882</v>
      </c>
      <c r="Z66" s="412"/>
      <c r="AA66" s="412"/>
      <c r="AB66" s="2" t="str">
        <f>AG48</f>
        <v>kg/cm2</v>
      </c>
      <c r="AC66" s="23" t="str">
        <f>IF(ABS(Y66)&lt;=ABS(AD66),"&lt;","&gt;")</f>
        <v>&lt;</v>
      </c>
      <c r="AD66" s="264">
        <f>AD63</f>
        <v>1560.1658058562302</v>
      </c>
      <c r="AE66" s="264"/>
      <c r="AF66" s="264"/>
      <c r="AG66" s="410" t="str">
        <f>IF(ABS(Y66)&lt;=ABS(AD66),"OK !","NO !")</f>
        <v>OK !</v>
      </c>
      <c r="AH66" s="410"/>
      <c r="AJ66" s="328">
        <f>ABS(Y66/AD66)</f>
        <v>0.32953479695648796</v>
      </c>
      <c r="AK66" s="328"/>
    </row>
    <row r="67" spans="1:37" ht="9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19" t="s">
        <v>46</v>
      </c>
      <c r="O67" s="318">
        <f>O66</f>
        <v>47.8125</v>
      </c>
      <c r="P67" s="318"/>
      <c r="Q67" s="318"/>
      <c r="R67" s="19" t="s">
        <v>84</v>
      </c>
      <c r="S67" s="318">
        <f>AD48</f>
        <v>561.9414220512882</v>
      </c>
      <c r="T67" s="318"/>
      <c r="U67" s="318"/>
      <c r="V67" s="67" t="s">
        <v>189</v>
      </c>
      <c r="W67" s="3"/>
      <c r="X67" s="8" t="s">
        <v>85</v>
      </c>
      <c r="Y67" s="412">
        <f>O67+S67</f>
        <v>609.7539220512882</v>
      </c>
      <c r="Z67" s="412"/>
      <c r="AA67" s="412"/>
      <c r="AB67" s="2" t="str">
        <f>AB66</f>
        <v>kg/cm2</v>
      </c>
      <c r="AC67" s="23" t="str">
        <f>IF(ABS(Y67)&lt;=ABS(AD67),"&lt;","&gt;")</f>
        <v>&lt;</v>
      </c>
      <c r="AD67" s="264">
        <f>AD66</f>
        <v>1560.1658058562302</v>
      </c>
      <c r="AE67" s="264"/>
      <c r="AF67" s="264"/>
      <c r="AG67" s="410" t="str">
        <f>IF(ABS(Y67)&lt;=ABS(AD67),"OK !","NO !")</f>
        <v>OK !</v>
      </c>
      <c r="AH67" s="410"/>
      <c r="AJ67" s="328">
        <f>ABS(Y67/AD67)</f>
        <v>0.3908263594564879</v>
      </c>
      <c r="AK67" s="328"/>
    </row>
    <row r="68" spans="1:50" ht="9.75" customHeight="1">
      <c r="A68" s="1"/>
      <c r="B68" s="1"/>
      <c r="C68" s="1"/>
      <c r="D68" s="1"/>
      <c r="E68" s="1"/>
      <c r="F68" s="1"/>
      <c r="G68" s="1"/>
      <c r="N68" s="1"/>
      <c r="O68" s="1"/>
      <c r="P68" s="1"/>
      <c r="Q68" s="1"/>
      <c r="R68" s="1"/>
      <c r="S68" s="1"/>
      <c r="T68" s="1"/>
      <c r="U68" s="1"/>
      <c r="X68" s="145" t="str">
        <f>X60</f>
        <v>Max. &gt; </v>
      </c>
      <c r="Y68" s="420">
        <f>MAX(ABS(Y63),ABS(Y64),ABS(Y66),ABS(Y67))</f>
        <v>693.165999823712</v>
      </c>
      <c r="Z68" s="420"/>
      <c r="AA68" s="420"/>
      <c r="AC68" s="3"/>
      <c r="AJ68" s="421">
        <f>MAX(ABS(AJ63),ABS(AJ64),ABS(AJ66),ABS(AJ67))</f>
        <v>0.4442899576582487</v>
      </c>
      <c r="AK68" s="421"/>
      <c r="AX68" s="1"/>
    </row>
    <row r="69" spans="1:21" ht="9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9" ht="9.75" customHeight="1">
      <c r="A70" s="6"/>
      <c r="B70" s="6"/>
      <c r="C70" s="6"/>
      <c r="D70" s="6"/>
      <c r="E70" s="6"/>
      <c r="F70" s="6"/>
      <c r="G70" s="6"/>
      <c r="N70" s="6"/>
      <c r="O70" s="6"/>
      <c r="P70" s="6"/>
      <c r="Q70" s="6"/>
      <c r="R70" s="6"/>
      <c r="S70" s="6"/>
      <c r="T70" s="6"/>
      <c r="U70" s="6"/>
      <c r="V70" s="3"/>
      <c r="W70" s="3"/>
      <c r="X70" s="3"/>
      <c r="Y70" s="3"/>
      <c r="Z70" s="3"/>
      <c r="AA70" s="3"/>
      <c r="AB70" s="3"/>
      <c r="AC70" s="3"/>
    </row>
    <row r="71" spans="1:29" ht="9.75" customHeight="1">
      <c r="A71" s="1"/>
      <c r="B71" s="1"/>
      <c r="C71" s="1"/>
      <c r="D71" s="1"/>
      <c r="E71" s="1"/>
      <c r="F71" s="1"/>
      <c r="G71" s="1"/>
      <c r="N71" s="1"/>
      <c r="O71" s="1"/>
      <c r="P71" s="1"/>
      <c r="Q71" s="1"/>
      <c r="R71" s="1"/>
      <c r="S71" s="1"/>
      <c r="T71" s="1"/>
      <c r="U71" s="1"/>
      <c r="AC71" s="3"/>
    </row>
    <row r="72" spans="1:29" ht="9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AC72" s="3"/>
    </row>
    <row r="73" spans="1:28" ht="9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3"/>
      <c r="W73" s="3"/>
      <c r="X73" s="3"/>
      <c r="Y73" s="3"/>
      <c r="Z73" s="3"/>
      <c r="AA73" s="3"/>
      <c r="AB73" s="3"/>
    </row>
    <row r="74" spans="1:28" ht="9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34" ht="9.75" customHeight="1">
      <c r="A75" s="10" t="str">
        <f>cosymbol</f>
        <v> NTES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1" t="str">
        <f>coname</f>
        <v>Narai Thermal Engineering Services </v>
      </c>
    </row>
    <row r="117" ht="13.5" customHeight="1"/>
    <row r="118" ht="13.5" customHeight="1"/>
  </sheetData>
  <mergeCells count="184">
    <mergeCell ref="Y68:AA68"/>
    <mergeCell ref="AJ60:AK60"/>
    <mergeCell ref="AJ68:AK68"/>
    <mergeCell ref="AJ53:AK53"/>
    <mergeCell ref="AJ54:AK54"/>
    <mergeCell ref="AJ55:AK55"/>
    <mergeCell ref="Y60:AA60"/>
    <mergeCell ref="AJ63:AK63"/>
    <mergeCell ref="AJ64:AK64"/>
    <mergeCell ref="AJ66:AK66"/>
    <mergeCell ref="AJ67:AK67"/>
    <mergeCell ref="AG66:AH66"/>
    <mergeCell ref="AG55:AH55"/>
    <mergeCell ref="AD55:AF55"/>
    <mergeCell ref="AG56:AH56"/>
    <mergeCell ref="AG59:AH59"/>
    <mergeCell ref="AG64:AH64"/>
    <mergeCell ref="AG63:AH63"/>
    <mergeCell ref="AD58:AF58"/>
    <mergeCell ref="AJ59:AK59"/>
    <mergeCell ref="O66:Q66"/>
    <mergeCell ref="S66:U66"/>
    <mergeCell ref="Y66:AA66"/>
    <mergeCell ref="O58:Q58"/>
    <mergeCell ref="S58:U58"/>
    <mergeCell ref="Y58:AA58"/>
    <mergeCell ref="O63:Q63"/>
    <mergeCell ref="O59:Q59"/>
    <mergeCell ref="O64:Q64"/>
    <mergeCell ref="S64:U64"/>
    <mergeCell ref="H47:H48"/>
    <mergeCell ref="I47:J47"/>
    <mergeCell ref="L47:M47"/>
    <mergeCell ref="O47:P47"/>
    <mergeCell ref="I48:J48"/>
    <mergeCell ref="L48:M48"/>
    <mergeCell ref="S63:U63"/>
    <mergeCell ref="X35:X36"/>
    <mergeCell ref="V35:W35"/>
    <mergeCell ref="V36:W36"/>
    <mergeCell ref="X42:Y42"/>
    <mergeCell ref="U42:V42"/>
    <mergeCell ref="S59:U59"/>
    <mergeCell ref="S56:U56"/>
    <mergeCell ref="V48:W48"/>
    <mergeCell ref="S55:U55"/>
    <mergeCell ref="F45:G46"/>
    <mergeCell ref="H45:H46"/>
    <mergeCell ref="I45:J45"/>
    <mergeCell ref="K45:K46"/>
    <mergeCell ref="I46:J46"/>
    <mergeCell ref="L35:M35"/>
    <mergeCell ref="O35:P35"/>
    <mergeCell ref="I43:J43"/>
    <mergeCell ref="L43:M43"/>
    <mergeCell ref="I36:J36"/>
    <mergeCell ref="L36:M36"/>
    <mergeCell ref="L42:M42"/>
    <mergeCell ref="O42:P42"/>
    <mergeCell ref="K40:K41"/>
    <mergeCell ref="H35:H36"/>
    <mergeCell ref="I35:J35"/>
    <mergeCell ref="H42:H43"/>
    <mergeCell ref="I42:J42"/>
    <mergeCell ref="F40:G41"/>
    <mergeCell ref="H40:H41"/>
    <mergeCell ref="I40:J40"/>
    <mergeCell ref="I41:J41"/>
    <mergeCell ref="K33:K34"/>
    <mergeCell ref="S30:S31"/>
    <mergeCell ref="T30:T31"/>
    <mergeCell ref="U30:V31"/>
    <mergeCell ref="L33:N33"/>
    <mergeCell ref="L34:N34"/>
    <mergeCell ref="O33:O34"/>
    <mergeCell ref="N30:N31"/>
    <mergeCell ref="O30:P31"/>
    <mergeCell ref="Q30:R31"/>
    <mergeCell ref="F33:G34"/>
    <mergeCell ref="H33:H34"/>
    <mergeCell ref="I34:J34"/>
    <mergeCell ref="I33:J33"/>
    <mergeCell ref="H30:H31"/>
    <mergeCell ref="L31:M31"/>
    <mergeCell ref="I31:J31"/>
    <mergeCell ref="I30:J30"/>
    <mergeCell ref="L30:M30"/>
    <mergeCell ref="F28:G29"/>
    <mergeCell ref="I28:J28"/>
    <mergeCell ref="I29:J29"/>
    <mergeCell ref="M21:N21"/>
    <mergeCell ref="L28:O29"/>
    <mergeCell ref="K28:K29"/>
    <mergeCell ref="H28:H29"/>
    <mergeCell ref="P21:Q21"/>
    <mergeCell ref="S21:T21"/>
    <mergeCell ref="Y21:AA21"/>
    <mergeCell ref="V21:W21"/>
    <mergeCell ref="AG21:AH21"/>
    <mergeCell ref="A2:Y4"/>
    <mergeCell ref="AD2:AH2"/>
    <mergeCell ref="AD3:AH3"/>
    <mergeCell ref="M17:N17"/>
    <mergeCell ref="P17:Q17"/>
    <mergeCell ref="S17:T17"/>
    <mergeCell ref="Y17:AA17"/>
    <mergeCell ref="V17:W17"/>
    <mergeCell ref="AD15:AF15"/>
    <mergeCell ref="AD1:AH1"/>
    <mergeCell ref="AD4:AE4"/>
    <mergeCell ref="AG4:AH4"/>
    <mergeCell ref="AG17:AH17"/>
    <mergeCell ref="AD17:AF17"/>
    <mergeCell ref="Y63:AA63"/>
    <mergeCell ref="AA42:AB42"/>
    <mergeCell ref="AA43:AB43"/>
    <mergeCell ref="AD21:AF21"/>
    <mergeCell ref="Y30:Z30"/>
    <mergeCell ref="Y55:AA55"/>
    <mergeCell ref="AB30:AC30"/>
    <mergeCell ref="R42:S43"/>
    <mergeCell ref="R40:S40"/>
    <mergeCell ref="R41:S41"/>
    <mergeCell ref="AE31:AF31"/>
    <mergeCell ref="AB31:AC31"/>
    <mergeCell ref="AD30:AD31"/>
    <mergeCell ref="L55:M55"/>
    <mergeCell ref="L58:M58"/>
    <mergeCell ref="N41:P41"/>
    <mergeCell ref="L40:M41"/>
    <mergeCell ref="O45:O46"/>
    <mergeCell ref="O56:Q56"/>
    <mergeCell ref="O55:Q55"/>
    <mergeCell ref="Q47:Q48"/>
    <mergeCell ref="Q42:Q43"/>
    <mergeCell ref="L63:M63"/>
    <mergeCell ref="L66:M66"/>
    <mergeCell ref="AD53:AE53"/>
    <mergeCell ref="N40:P40"/>
    <mergeCell ref="Q40:Q41"/>
    <mergeCell ref="AD63:AF63"/>
    <mergeCell ref="L46:N46"/>
    <mergeCell ref="L45:N45"/>
    <mergeCell ref="AD66:AF66"/>
    <mergeCell ref="V47:W47"/>
    <mergeCell ref="I55:J55"/>
    <mergeCell ref="I58:J58"/>
    <mergeCell ref="I63:J63"/>
    <mergeCell ref="I66:J66"/>
    <mergeCell ref="AD67:AF67"/>
    <mergeCell ref="AD28:AF28"/>
    <mergeCell ref="AD35:AF35"/>
    <mergeCell ref="AD47:AF47"/>
    <mergeCell ref="AD40:AF40"/>
    <mergeCell ref="AD29:AF29"/>
    <mergeCell ref="AD36:AF36"/>
    <mergeCell ref="AD41:AF41"/>
    <mergeCell ref="AD48:AF48"/>
    <mergeCell ref="AE30:AF30"/>
    <mergeCell ref="AG67:AH67"/>
    <mergeCell ref="O67:Q67"/>
    <mergeCell ref="S67:U67"/>
    <mergeCell ref="Y56:AA56"/>
    <mergeCell ref="AD56:AF56"/>
    <mergeCell ref="Y59:AA59"/>
    <mergeCell ref="AD59:AF59"/>
    <mergeCell ref="Y64:AA64"/>
    <mergeCell ref="AD64:AF64"/>
    <mergeCell ref="Y67:AA67"/>
    <mergeCell ref="S28:S29"/>
    <mergeCell ref="P28:R28"/>
    <mergeCell ref="P29:R29"/>
    <mergeCell ref="S35:T35"/>
    <mergeCell ref="Q35:Q36"/>
    <mergeCell ref="AJ56:AK56"/>
    <mergeCell ref="AJ58:AK58"/>
    <mergeCell ref="T28:U28"/>
    <mergeCell ref="T29:U29"/>
    <mergeCell ref="W30:W31"/>
    <mergeCell ref="S47:T47"/>
    <mergeCell ref="AG58:AH58"/>
    <mergeCell ref="Z42:Z43"/>
    <mergeCell ref="X43:Y43"/>
    <mergeCell ref="X47:X48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X75"/>
  <sheetViews>
    <sheetView view="pageBreakPreview" zoomScaleSheetLayoutView="100" workbookViewId="0" topLeftCell="A1">
      <selection activeCell="X6" sqref="X6"/>
    </sheetView>
  </sheetViews>
  <sheetFormatPr defaultColWidth="8.88671875" defaultRowHeight="13.5"/>
  <cols>
    <col min="1" max="50" width="2.3359375" style="2" customWidth="1"/>
    <col min="51" max="16384" width="8.88671875" style="2" customWidth="1"/>
  </cols>
  <sheetData>
    <row r="1" spans="1:34" ht="9.75" customHeight="1">
      <c r="A1" s="55"/>
      <c r="B1" s="133" t="str">
        <f>sc_title2</f>
        <v>H E A D E R     B O X</v>
      </c>
      <c r="C1" s="133"/>
      <c r="D1" s="133"/>
      <c r="E1" s="133"/>
      <c r="F1" s="133"/>
      <c r="G1" s="133"/>
      <c r="H1" s="133" t="s">
        <v>477</v>
      </c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41" t="s">
        <v>422</v>
      </c>
      <c r="AA1" s="41"/>
      <c r="AB1" s="41"/>
      <c r="AC1" s="135"/>
      <c r="AD1" s="276" t="str">
        <f>sc_docno</f>
        <v>SC - RPV - 100</v>
      </c>
      <c r="AE1" s="276"/>
      <c r="AF1" s="276"/>
      <c r="AG1" s="276"/>
      <c r="AH1" s="276"/>
    </row>
    <row r="2" spans="1:34" ht="9.75" customHeight="1">
      <c r="A2" s="415" t="str">
        <f>sc_title</f>
        <v>S T R E N G T H     C A L C U L A T I O N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37" t="s">
        <v>423</v>
      </c>
      <c r="AA2" s="37"/>
      <c r="AB2" s="37"/>
      <c r="AC2" s="136"/>
      <c r="AD2" s="263" t="str">
        <f>sc_date</f>
        <v>2019.  7.  15.</v>
      </c>
      <c r="AE2" s="263"/>
      <c r="AF2" s="263"/>
      <c r="AG2" s="263"/>
      <c r="AH2" s="263"/>
    </row>
    <row r="3" spans="1:34" ht="9.75" customHeight="1">
      <c r="A3" s="415"/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37" t="s">
        <v>424</v>
      </c>
      <c r="AA3" s="37"/>
      <c r="AB3" s="37"/>
      <c r="AC3" s="136"/>
      <c r="AD3" s="263">
        <f>sc_revno</f>
        <v>0</v>
      </c>
      <c r="AE3" s="263"/>
      <c r="AF3" s="263"/>
      <c r="AG3" s="263"/>
      <c r="AH3" s="263"/>
    </row>
    <row r="4" spans="1:34" ht="9.75" customHeight="1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51" t="s">
        <v>425</v>
      </c>
      <c r="AA4" s="51"/>
      <c r="AB4" s="51"/>
      <c r="AC4" s="51"/>
      <c r="AD4" s="204">
        <v>2</v>
      </c>
      <c r="AE4" s="204"/>
      <c r="AF4" s="73" t="s">
        <v>13</v>
      </c>
      <c r="AG4" s="236" t="str">
        <f>sc_sheetqty</f>
        <v>x</v>
      </c>
      <c r="AH4" s="236"/>
    </row>
    <row r="5" spans="1:29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C5" s="3"/>
    </row>
    <row r="6" spans="1:34" ht="9.75" customHeight="1">
      <c r="A6" s="6"/>
      <c r="B6" s="6" t="s">
        <v>9</v>
      </c>
      <c r="C6" s="6"/>
      <c r="D6" s="6"/>
      <c r="E6" s="7" t="str">
        <f>project</f>
        <v>Later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3"/>
      <c r="R6" s="3"/>
      <c r="S6" s="3"/>
      <c r="T6" s="5"/>
      <c r="U6" s="5"/>
      <c r="V6" s="5"/>
      <c r="Y6" s="3"/>
      <c r="AH6" s="4"/>
    </row>
    <row r="7" spans="1:34" ht="9.75" customHeight="1">
      <c r="A7" s="6"/>
      <c r="B7" s="6" t="s">
        <v>11</v>
      </c>
      <c r="C7" s="6"/>
      <c r="D7" s="6"/>
      <c r="E7" s="7" t="str">
        <f>itemno</f>
        <v>H - 100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5"/>
      <c r="U7" s="5"/>
      <c r="V7" s="5"/>
      <c r="Y7" s="6"/>
      <c r="AH7" s="4"/>
    </row>
    <row r="8" spans="1:34" ht="9.75" customHeight="1">
      <c r="A8" s="6"/>
      <c r="B8" s="6" t="s">
        <v>14</v>
      </c>
      <c r="C8" s="6"/>
      <c r="D8" s="6"/>
      <c r="E8" s="7" t="str">
        <f>service</f>
        <v>Air Cooled Heat Exchanger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Y8" s="6"/>
      <c r="AH8" s="3"/>
    </row>
    <row r="9" spans="1:25" ht="9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3"/>
      <c r="W9" s="3"/>
      <c r="X9" s="3"/>
      <c r="Y9" s="3"/>
    </row>
    <row r="10" spans="1:29" ht="9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3"/>
      <c r="W10" s="3"/>
      <c r="X10" s="3"/>
      <c r="Y10" s="3"/>
      <c r="Z10" s="3"/>
      <c r="AA10" s="3"/>
      <c r="AB10" s="3"/>
      <c r="AC10" s="3"/>
    </row>
    <row r="11" spans="1:29" ht="9.75" customHeight="1">
      <c r="A11" s="1"/>
      <c r="B11" s="1"/>
      <c r="C11" s="12" t="s">
        <v>61</v>
      </c>
      <c r="D11" s="9" t="s">
        <v>37</v>
      </c>
      <c r="E11" s="1"/>
      <c r="F11" s="1"/>
      <c r="G11" s="1"/>
      <c r="H11" s="1"/>
      <c r="I11" s="1"/>
      <c r="J11" s="1"/>
      <c r="K11" s="19" t="s">
        <v>119</v>
      </c>
      <c r="L11" s="25" t="s">
        <v>31</v>
      </c>
      <c r="M11" s="31" t="s">
        <v>46</v>
      </c>
      <c r="N11" s="25" t="s">
        <v>171</v>
      </c>
      <c r="O11" s="1"/>
      <c r="P11" s="1"/>
      <c r="Q11" s="1"/>
      <c r="R11" s="1"/>
      <c r="S11" s="1"/>
      <c r="T11" s="1"/>
      <c r="U11" s="1"/>
      <c r="AC11" s="3"/>
    </row>
    <row r="12" spans="1:29" ht="9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3"/>
      <c r="W12" s="3"/>
      <c r="X12" s="3"/>
      <c r="Y12" s="3"/>
      <c r="Z12" s="3"/>
      <c r="AA12" s="3"/>
      <c r="AB12" s="3"/>
      <c r="AC12" s="3"/>
    </row>
    <row r="13" spans="1:29" ht="9.75" customHeight="1">
      <c r="A13" s="6"/>
      <c r="B13" s="6"/>
      <c r="C13" s="6"/>
      <c r="D13" s="7" t="s">
        <v>478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3"/>
      <c r="W13" s="3"/>
      <c r="X13" s="3"/>
      <c r="Y13" s="3"/>
      <c r="Z13" s="3"/>
      <c r="AA13" s="3"/>
      <c r="AB13" s="3"/>
      <c r="AC13" s="3"/>
    </row>
    <row r="14" spans="1:29" ht="9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3"/>
      <c r="W14" s="3"/>
      <c r="X14" s="3"/>
      <c r="Y14" s="3"/>
      <c r="Z14" s="3"/>
      <c r="AA14" s="3"/>
      <c r="AB14" s="3"/>
      <c r="AC14" s="3"/>
    </row>
    <row r="15" spans="1:32" ht="9.75" customHeight="1">
      <c r="A15" s="1"/>
      <c r="B15" s="1"/>
      <c r="C15" s="1"/>
      <c r="D15" s="1"/>
      <c r="E15" s="9" t="str">
        <f>plate_ID_tp</f>
        <v>Top / Bottom Plate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AC15" s="3"/>
      <c r="AD15" s="416" t="s">
        <v>92</v>
      </c>
      <c r="AE15" s="416"/>
      <c r="AF15" s="416"/>
    </row>
    <row r="16" spans="1:29" ht="9.75" customHeight="1">
      <c r="A16" s="6"/>
      <c r="B16" s="6"/>
      <c r="C16" s="6"/>
      <c r="D16" s="6"/>
      <c r="E16" s="6"/>
      <c r="F16" s="6"/>
      <c r="G16" s="6"/>
      <c r="N16" s="6"/>
      <c r="O16" s="6"/>
      <c r="P16" s="6"/>
      <c r="Q16" s="6"/>
      <c r="R16" s="6"/>
      <c r="S16" s="6"/>
      <c r="T16" s="6"/>
      <c r="U16" s="6"/>
      <c r="V16" s="3"/>
      <c r="W16" s="3"/>
      <c r="X16" s="3"/>
      <c r="Y16" s="3"/>
      <c r="Z16" s="3"/>
      <c r="AA16" s="3"/>
      <c r="AB16" s="3"/>
      <c r="AC16" s="3"/>
    </row>
    <row r="17" spans="1:34" ht="9.75" customHeight="1">
      <c r="A17" s="1"/>
      <c r="B17" s="1"/>
      <c r="C17" s="1"/>
      <c r="D17" s="1"/>
      <c r="E17" s="1"/>
      <c r="F17" s="24" t="s">
        <v>96</v>
      </c>
      <c r="G17" s="1"/>
      <c r="H17" s="1" t="s">
        <v>46</v>
      </c>
      <c r="I17" s="1" t="s">
        <v>219</v>
      </c>
      <c r="J17" s="1"/>
      <c r="K17" s="1"/>
      <c r="L17" s="19" t="s">
        <v>46</v>
      </c>
      <c r="M17" s="239">
        <f>sc_dp</f>
        <v>10</v>
      </c>
      <c r="N17" s="239"/>
      <c r="O17" s="19" t="s">
        <v>18</v>
      </c>
      <c r="P17" s="239">
        <f>sc_lh</f>
        <v>406</v>
      </c>
      <c r="Q17" s="239"/>
      <c r="R17" s="83" t="s">
        <v>479</v>
      </c>
      <c r="S17" s="239">
        <f>sc_st1</f>
        <v>22</v>
      </c>
      <c r="T17" s="239"/>
      <c r="U17" s="8" t="s">
        <v>71</v>
      </c>
      <c r="V17" s="233">
        <f>sc_jen</f>
        <v>1</v>
      </c>
      <c r="W17" s="233"/>
      <c r="X17" s="8" t="s">
        <v>46</v>
      </c>
      <c r="Y17" s="412">
        <f>M17*P17/2/S17/V17</f>
        <v>92.27272727272727</v>
      </c>
      <c r="Z17" s="412"/>
      <c r="AA17" s="412"/>
      <c r="AB17" s="2" t="str">
        <f>upsx(sc_pu)</f>
        <v>kg/cm2</v>
      </c>
      <c r="AC17" s="23" t="str">
        <f>IF(Y17&lt;=AD17,"&lt;","&gt;")</f>
        <v>&lt;</v>
      </c>
      <c r="AD17" s="264">
        <f>sc_mas</f>
        <v>1040.1105372374868</v>
      </c>
      <c r="AE17" s="264"/>
      <c r="AF17" s="264"/>
      <c r="AG17" s="410" t="str">
        <f>IF(ABS(Y17)&lt;=ABS(AD17),"OK !","NO !")</f>
        <v>OK !</v>
      </c>
      <c r="AH17" s="410"/>
    </row>
    <row r="18" spans="1:29" ht="9.75" customHeight="1">
      <c r="A18" s="6"/>
      <c r="B18" s="6"/>
      <c r="C18" s="6"/>
      <c r="D18" s="6"/>
      <c r="E18" s="6"/>
      <c r="F18" s="6"/>
      <c r="G18" s="6"/>
      <c r="S18" s="6"/>
      <c r="T18" s="6"/>
      <c r="X18" s="3"/>
      <c r="Y18" s="3"/>
      <c r="Z18" s="3"/>
      <c r="AA18" s="3"/>
      <c r="AB18" s="3"/>
      <c r="AC18" s="3"/>
    </row>
    <row r="19" spans="1:20" ht="9.75" customHeight="1">
      <c r="A19" s="1"/>
      <c r="B19" s="1"/>
      <c r="C19" s="1"/>
      <c r="D19" s="1"/>
      <c r="E19" s="28" t="str">
        <f>plate_ID_ts</f>
        <v>Tube Plate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9" ht="9.75" customHeight="1">
      <c r="A20" s="1"/>
      <c r="B20" s="1"/>
      <c r="C20" s="1"/>
      <c r="D20" s="1"/>
      <c r="E20" s="1"/>
      <c r="F20" s="1"/>
      <c r="G20" s="1"/>
      <c r="N20" s="1"/>
      <c r="P20" s="1"/>
      <c r="AC20" s="3"/>
    </row>
    <row r="21" spans="1:38" ht="9.75" customHeight="1">
      <c r="A21" s="6"/>
      <c r="B21" s="6"/>
      <c r="C21" s="6"/>
      <c r="D21" s="6"/>
      <c r="E21" s="6"/>
      <c r="F21" s="24" t="s">
        <v>94</v>
      </c>
      <c r="G21" s="1"/>
      <c r="H21" s="1" t="s">
        <v>46</v>
      </c>
      <c r="I21" s="1" t="s">
        <v>220</v>
      </c>
      <c r="J21" s="1"/>
      <c r="K21" s="1"/>
      <c r="L21" s="19" t="s">
        <v>46</v>
      </c>
      <c r="M21" s="239">
        <f>M17</f>
        <v>10</v>
      </c>
      <c r="N21" s="239"/>
      <c r="O21" s="19" t="s">
        <v>18</v>
      </c>
      <c r="P21" s="239">
        <f>sc_sh</f>
        <v>306</v>
      </c>
      <c r="Q21" s="239"/>
      <c r="R21" s="83" t="s">
        <v>479</v>
      </c>
      <c r="S21" s="239">
        <f>sc_lt2</f>
        <v>32</v>
      </c>
      <c r="T21" s="239"/>
      <c r="U21" s="8" t="s">
        <v>71</v>
      </c>
      <c r="V21" s="328">
        <f>sc_jem</f>
        <v>0.5707317073170732</v>
      </c>
      <c r="W21" s="328"/>
      <c r="X21" s="8" t="s">
        <v>46</v>
      </c>
      <c r="Y21" s="412">
        <f>M21*P21/2/S21/V21</f>
        <v>83.77403846153845</v>
      </c>
      <c r="Z21" s="412"/>
      <c r="AA21" s="412"/>
      <c r="AB21" s="2" t="str">
        <f>AB17</f>
        <v>kg/cm2</v>
      </c>
      <c r="AC21" s="23" t="str">
        <f>IF(Y21&lt;=AD21,"&lt;","&gt;")</f>
        <v>&lt;</v>
      </c>
      <c r="AD21" s="264">
        <f>AD17</f>
        <v>1040.1105372374868</v>
      </c>
      <c r="AE21" s="264"/>
      <c r="AF21" s="264"/>
      <c r="AG21" s="410" t="str">
        <f>IF(ABS(Y21)&lt;=ABS(AD21),"OK !","NO !")</f>
        <v>OK !</v>
      </c>
      <c r="AH21" s="410"/>
      <c r="AI21" s="3"/>
      <c r="AJ21" s="3"/>
      <c r="AK21" s="3"/>
      <c r="AL21" s="3"/>
    </row>
    <row r="22" spans="1:29" ht="9.75" customHeight="1">
      <c r="A22" s="1"/>
      <c r="B22" s="1"/>
      <c r="C22" s="1"/>
      <c r="D22" s="1"/>
      <c r="E22" s="1"/>
      <c r="F22" s="1"/>
      <c r="G22" s="1"/>
      <c r="U22" s="1"/>
      <c r="AC22" s="3"/>
    </row>
    <row r="23" spans="1:28" ht="9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3"/>
      <c r="X23" s="3"/>
      <c r="Y23" s="3"/>
      <c r="Z23" s="3"/>
      <c r="AA23" s="3"/>
      <c r="AB23" s="3"/>
    </row>
    <row r="24" spans="1:29" ht="9.75" customHeight="1">
      <c r="A24" s="6"/>
      <c r="B24" s="6"/>
      <c r="C24" s="6"/>
      <c r="D24" s="7" t="s">
        <v>47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3"/>
      <c r="W24" s="3"/>
      <c r="X24" s="3"/>
      <c r="Y24" s="3"/>
      <c r="Z24" s="3"/>
      <c r="AA24" s="3"/>
      <c r="AB24" s="3"/>
      <c r="AC24" s="3"/>
    </row>
    <row r="25" spans="1:29" ht="9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3"/>
      <c r="W25" s="3"/>
      <c r="X25" s="3"/>
      <c r="Y25" s="3"/>
      <c r="Z25" s="3"/>
      <c r="AA25" s="3"/>
      <c r="AB25" s="3"/>
      <c r="AC25" s="3"/>
    </row>
    <row r="26" spans="1:29" ht="9.75" customHeight="1">
      <c r="A26" s="1"/>
      <c r="B26" s="1"/>
      <c r="C26" s="1"/>
      <c r="D26" s="1"/>
      <c r="E26" s="9" t="str">
        <f>E15</f>
        <v>Top / Bottom Plate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6"/>
      <c r="U26" s="6"/>
      <c r="AC26" s="3"/>
    </row>
    <row r="27" spans="1:29" ht="9.75" customHeight="1">
      <c r="A27" s="6"/>
      <c r="B27" s="6"/>
      <c r="C27" s="6"/>
      <c r="D27" s="6"/>
      <c r="E27" s="6"/>
      <c r="F27" s="6"/>
      <c r="G27" s="6"/>
      <c r="N27" s="6"/>
      <c r="O27" s="3"/>
      <c r="P27" s="6"/>
      <c r="Q27" s="3"/>
      <c r="R27" s="3"/>
      <c r="S27" s="3"/>
      <c r="T27" s="6"/>
      <c r="U27" s="6"/>
      <c r="V27" s="3"/>
      <c r="W27" s="3"/>
      <c r="X27" s="3"/>
      <c r="Y27" s="3"/>
      <c r="Z27" s="3"/>
      <c r="AA27" s="3"/>
      <c r="AB27" s="3"/>
      <c r="AC27" s="3"/>
    </row>
    <row r="28" spans="1:34" ht="9.75" customHeight="1">
      <c r="A28" s="1"/>
      <c r="B28" s="1"/>
      <c r="C28" s="1"/>
      <c r="D28" s="1"/>
      <c r="E28" s="1"/>
      <c r="F28" s="417" t="s">
        <v>480</v>
      </c>
      <c r="G28" s="417"/>
      <c r="H28" s="409" t="s">
        <v>46</v>
      </c>
      <c r="I28" s="239" t="s">
        <v>481</v>
      </c>
      <c r="J28" s="239"/>
      <c r="K28" s="411" t="s">
        <v>48</v>
      </c>
      <c r="L28" s="414" t="s">
        <v>482</v>
      </c>
      <c r="M28" s="414"/>
      <c r="N28" s="414"/>
      <c r="O28" s="414"/>
      <c r="P28" s="239" t="s">
        <v>483</v>
      </c>
      <c r="Q28" s="239"/>
      <c r="R28" s="239"/>
      <c r="S28" s="411" t="s">
        <v>52</v>
      </c>
      <c r="T28" s="239">
        <v>1</v>
      </c>
      <c r="U28" s="239"/>
      <c r="Z28" s="35" t="s">
        <v>186</v>
      </c>
      <c r="AC28" s="48" t="s">
        <v>46</v>
      </c>
      <c r="AD28" s="413">
        <f>I30*L30/I31/L31*(-1.5*Q30^2+U30^2*(1+Y30^2*AB30)/(1+AB31))/AE31</f>
        <v>262.0702145030598</v>
      </c>
      <c r="AE28" s="413"/>
      <c r="AF28" s="413"/>
      <c r="AG28" s="47" t="str">
        <f>AB17</f>
        <v>kg/cm2</v>
      </c>
      <c r="AH28" s="47"/>
    </row>
    <row r="29" spans="1:34" ht="9.75" customHeight="1">
      <c r="A29" s="1"/>
      <c r="B29" s="1"/>
      <c r="C29" s="1"/>
      <c r="D29" s="1"/>
      <c r="E29" s="1"/>
      <c r="F29" s="417"/>
      <c r="G29" s="417"/>
      <c r="H29" s="409"/>
      <c r="I29" s="256" t="s">
        <v>484</v>
      </c>
      <c r="J29" s="256"/>
      <c r="K29" s="411"/>
      <c r="L29" s="414"/>
      <c r="M29" s="414"/>
      <c r="N29" s="414"/>
      <c r="O29" s="414"/>
      <c r="P29" s="256" t="s">
        <v>50</v>
      </c>
      <c r="Q29" s="256"/>
      <c r="R29" s="256"/>
      <c r="S29" s="411"/>
      <c r="T29" s="256" t="s">
        <v>224</v>
      </c>
      <c r="U29" s="256"/>
      <c r="Z29" s="35" t="s">
        <v>187</v>
      </c>
      <c r="AC29" s="48" t="s">
        <v>46</v>
      </c>
      <c r="AD29" s="413">
        <f>I30*(-L30)/I31/L31*(-1.5*Q30^2+U30^2*(1+Y30^2*AB30)/(1+AB31))/AE31</f>
        <v>-262.0702145030598</v>
      </c>
      <c r="AE29" s="413"/>
      <c r="AF29" s="413"/>
      <c r="AG29" s="47" t="str">
        <f>AG28</f>
        <v>kg/cm2</v>
      </c>
      <c r="AH29" s="47"/>
    </row>
    <row r="30" spans="1:33" ht="9.75" customHeight="1">
      <c r="A30" s="1"/>
      <c r="B30" s="1"/>
      <c r="C30" s="1"/>
      <c r="D30" s="1"/>
      <c r="E30" s="1"/>
      <c r="F30" s="1"/>
      <c r="G30" s="1"/>
      <c r="H30" s="409" t="s">
        <v>46</v>
      </c>
      <c r="I30" s="239">
        <f>M17</f>
        <v>10</v>
      </c>
      <c r="J30" s="239"/>
      <c r="K30" s="19" t="s">
        <v>18</v>
      </c>
      <c r="L30" s="418">
        <f>sc_sco1</f>
        <v>-11</v>
      </c>
      <c r="M30" s="418"/>
      <c r="N30" s="411" t="s">
        <v>48</v>
      </c>
      <c r="O30" s="414" t="s">
        <v>53</v>
      </c>
      <c r="P30" s="414"/>
      <c r="Q30" s="411">
        <f>P21</f>
        <v>306</v>
      </c>
      <c r="R30" s="411"/>
      <c r="S30" s="409" t="s">
        <v>54</v>
      </c>
      <c r="T30" s="411" t="s">
        <v>55</v>
      </c>
      <c r="U30" s="411">
        <f>P17</f>
        <v>406</v>
      </c>
      <c r="V30" s="411"/>
      <c r="W30" s="409" t="s">
        <v>57</v>
      </c>
      <c r="X30" s="2" t="s">
        <v>59</v>
      </c>
      <c r="Y30" s="328">
        <f>sc_alpha</f>
        <v>0.7536945812807881</v>
      </c>
      <c r="Z30" s="328"/>
      <c r="AA30" s="29" t="s">
        <v>60</v>
      </c>
      <c r="AB30" s="328">
        <f>sc_kei</f>
        <v>2.319408718952748</v>
      </c>
      <c r="AC30" s="328"/>
      <c r="AD30" s="411" t="s">
        <v>52</v>
      </c>
      <c r="AE30" s="239">
        <v>1</v>
      </c>
      <c r="AF30" s="239"/>
      <c r="AG30" s="47"/>
    </row>
    <row r="31" spans="1:33" ht="9.75" customHeight="1">
      <c r="A31" s="6"/>
      <c r="B31" s="6"/>
      <c r="C31" s="6"/>
      <c r="D31" s="6"/>
      <c r="E31" s="6"/>
      <c r="F31" s="6"/>
      <c r="G31" s="6"/>
      <c r="H31" s="409"/>
      <c r="I31" s="256">
        <v>12</v>
      </c>
      <c r="J31" s="256"/>
      <c r="K31" s="20" t="s">
        <v>18</v>
      </c>
      <c r="L31" s="352">
        <f>sc_si1</f>
        <v>887.3333333333334</v>
      </c>
      <c r="M31" s="352"/>
      <c r="N31" s="411"/>
      <c r="O31" s="414"/>
      <c r="P31" s="414"/>
      <c r="Q31" s="411"/>
      <c r="R31" s="411"/>
      <c r="S31" s="409"/>
      <c r="T31" s="411"/>
      <c r="U31" s="411"/>
      <c r="V31" s="411"/>
      <c r="W31" s="409"/>
      <c r="X31" s="21" t="s">
        <v>59</v>
      </c>
      <c r="Y31" s="21"/>
      <c r="Z31" s="21"/>
      <c r="AA31" s="21"/>
      <c r="AB31" s="363">
        <f>AB30</f>
        <v>2.319408718952748</v>
      </c>
      <c r="AC31" s="363"/>
      <c r="AD31" s="411"/>
      <c r="AE31" s="256">
        <f>V17</f>
        <v>1</v>
      </c>
      <c r="AF31" s="256"/>
      <c r="AG31" s="47"/>
    </row>
    <row r="32" spans="1:29" ht="9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3"/>
      <c r="W32" s="3"/>
      <c r="X32" s="3"/>
      <c r="Y32" s="3"/>
      <c r="Z32" s="3"/>
      <c r="AA32" s="3"/>
      <c r="AB32" s="3"/>
      <c r="AC32" s="3"/>
    </row>
    <row r="33" spans="1:28" ht="9.75" customHeight="1">
      <c r="A33" s="6"/>
      <c r="B33" s="6"/>
      <c r="C33" s="6"/>
      <c r="D33" s="6"/>
      <c r="E33" s="1"/>
      <c r="F33" s="417" t="s">
        <v>485</v>
      </c>
      <c r="G33" s="417"/>
      <c r="H33" s="409" t="s">
        <v>46</v>
      </c>
      <c r="I33" s="419" t="s">
        <v>77</v>
      </c>
      <c r="J33" s="419"/>
      <c r="K33" s="411" t="s">
        <v>78</v>
      </c>
      <c r="L33" s="239" t="s">
        <v>483</v>
      </c>
      <c r="M33" s="239"/>
      <c r="N33" s="239"/>
      <c r="O33" s="411" t="s">
        <v>79</v>
      </c>
      <c r="P33" s="6"/>
      <c r="Q33" s="6"/>
      <c r="R33" s="6"/>
      <c r="S33" s="6"/>
      <c r="T33" s="6"/>
      <c r="U33" s="6"/>
      <c r="V33" s="3"/>
      <c r="W33" s="3"/>
      <c r="X33" s="3"/>
      <c r="Y33" s="3"/>
      <c r="Z33" s="3"/>
      <c r="AA33" s="3"/>
      <c r="AB33" s="3"/>
    </row>
    <row r="34" spans="1:28" ht="9.75" customHeight="1">
      <c r="A34" s="6"/>
      <c r="B34" s="6"/>
      <c r="C34" s="6"/>
      <c r="D34" s="6"/>
      <c r="E34" s="6"/>
      <c r="F34" s="417"/>
      <c r="G34" s="417"/>
      <c r="H34" s="409"/>
      <c r="I34" s="256" t="s">
        <v>484</v>
      </c>
      <c r="J34" s="256"/>
      <c r="K34" s="411"/>
      <c r="L34" s="256" t="s">
        <v>50</v>
      </c>
      <c r="M34" s="256"/>
      <c r="N34" s="256"/>
      <c r="O34" s="411"/>
      <c r="P34" s="6"/>
      <c r="Q34" s="6"/>
      <c r="R34" s="6"/>
      <c r="S34" s="6"/>
      <c r="T34" s="6"/>
      <c r="U34" s="6"/>
      <c r="V34" s="3"/>
      <c r="W34" s="3"/>
      <c r="X34" s="3"/>
      <c r="Y34" s="3"/>
      <c r="Z34" s="3"/>
      <c r="AA34" s="3"/>
      <c r="AB34" s="3"/>
    </row>
    <row r="35" spans="1:34" ht="9.75" customHeight="1">
      <c r="A35" s="1"/>
      <c r="B35" s="1"/>
      <c r="C35" s="1"/>
      <c r="D35" s="1"/>
      <c r="E35" s="1"/>
      <c r="F35" s="1"/>
      <c r="G35" s="1"/>
      <c r="H35" s="409" t="s">
        <v>46</v>
      </c>
      <c r="I35" s="239">
        <f>I30</f>
        <v>10</v>
      </c>
      <c r="J35" s="239"/>
      <c r="K35" s="1" t="s">
        <v>18</v>
      </c>
      <c r="L35" s="239">
        <f>U30</f>
        <v>406</v>
      </c>
      <c r="M35" s="239"/>
      <c r="N35" s="30" t="s">
        <v>60</v>
      </c>
      <c r="O35" s="418">
        <f>L30</f>
        <v>-11</v>
      </c>
      <c r="P35" s="418"/>
      <c r="Q35" s="411" t="s">
        <v>78</v>
      </c>
      <c r="R35" s="2" t="s">
        <v>59</v>
      </c>
      <c r="S35" s="328">
        <f>Y30</f>
        <v>0.7536945812807881</v>
      </c>
      <c r="T35" s="328"/>
      <c r="U35" s="29" t="s">
        <v>60</v>
      </c>
      <c r="V35" s="328">
        <f>AB30</f>
        <v>2.319408718952748</v>
      </c>
      <c r="W35" s="328"/>
      <c r="X35" s="411" t="s">
        <v>79</v>
      </c>
      <c r="Z35" s="35" t="s">
        <v>186</v>
      </c>
      <c r="AC35" s="48" t="s">
        <v>46</v>
      </c>
      <c r="AD35" s="413">
        <f>I35*L35^2*O35/I36/L36*(1+S35^2*V35)/(1+V36)</f>
        <v>-1188.9008598771054</v>
      </c>
      <c r="AE35" s="413"/>
      <c r="AF35" s="413"/>
      <c r="AG35" s="47" t="str">
        <f>AG28</f>
        <v>kg/cm2</v>
      </c>
      <c r="AH35" s="47"/>
    </row>
    <row r="36" spans="1:34" ht="9.75" customHeight="1">
      <c r="A36" s="6"/>
      <c r="B36" s="6"/>
      <c r="C36" s="6"/>
      <c r="D36" s="6"/>
      <c r="E36" s="6"/>
      <c r="F36" s="6"/>
      <c r="G36" s="6"/>
      <c r="H36" s="409"/>
      <c r="I36" s="256">
        <v>12</v>
      </c>
      <c r="J36" s="256"/>
      <c r="K36" s="21" t="s">
        <v>18</v>
      </c>
      <c r="L36" s="352">
        <f>L31</f>
        <v>887.3333333333334</v>
      </c>
      <c r="M36" s="256"/>
      <c r="N36" s="21"/>
      <c r="O36" s="21"/>
      <c r="P36" s="21"/>
      <c r="Q36" s="411"/>
      <c r="R36" s="21" t="s">
        <v>59</v>
      </c>
      <c r="S36" s="21"/>
      <c r="T36" s="21"/>
      <c r="U36" s="21"/>
      <c r="V36" s="363">
        <f>AB31</f>
        <v>2.319408718952748</v>
      </c>
      <c r="W36" s="363"/>
      <c r="X36" s="411"/>
      <c r="Y36" s="3"/>
      <c r="Z36" s="35" t="s">
        <v>187</v>
      </c>
      <c r="AA36" s="3"/>
      <c r="AC36" s="48" t="s">
        <v>46</v>
      </c>
      <c r="AD36" s="413">
        <f>I35*L35^2*(-O35)/I36/L36*(1+S35^2*V35)/(1+V36)</f>
        <v>1188.9008598771054</v>
      </c>
      <c r="AE36" s="413"/>
      <c r="AF36" s="413"/>
      <c r="AG36" s="47" t="str">
        <f>AG35</f>
        <v>kg/cm2</v>
      </c>
      <c r="AH36" s="47"/>
    </row>
    <row r="37" spans="1:29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AC37" s="3"/>
    </row>
    <row r="38" spans="1:29" ht="9.75" customHeight="1">
      <c r="A38" s="1"/>
      <c r="B38" s="1"/>
      <c r="C38" s="1"/>
      <c r="D38" s="1"/>
      <c r="E38" s="9" t="str">
        <f>E19</f>
        <v>Tube Plate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AC38" s="3"/>
    </row>
    <row r="39" spans="1:29" ht="9.75" customHeight="1">
      <c r="A39" s="6"/>
      <c r="B39" s="6"/>
      <c r="C39" s="6"/>
      <c r="D39" s="6"/>
      <c r="E39" s="6"/>
      <c r="F39" s="6"/>
      <c r="G39" s="6"/>
      <c r="N39" s="6"/>
      <c r="O39" s="6"/>
      <c r="P39" s="6"/>
      <c r="Q39" s="6"/>
      <c r="R39" s="6"/>
      <c r="S39" s="6"/>
      <c r="T39" s="6"/>
      <c r="U39" s="6"/>
      <c r="V39" s="3"/>
      <c r="W39" s="3"/>
      <c r="X39" s="3"/>
      <c r="Y39" s="3"/>
      <c r="Z39" s="3"/>
      <c r="AA39" s="3"/>
      <c r="AB39" s="3"/>
      <c r="AC39" s="3"/>
    </row>
    <row r="40" spans="1:33" ht="9.75" customHeight="1">
      <c r="A40" s="1"/>
      <c r="B40" s="1"/>
      <c r="C40" s="1"/>
      <c r="D40" s="1"/>
      <c r="E40" s="1"/>
      <c r="F40" s="417" t="s">
        <v>486</v>
      </c>
      <c r="G40" s="417"/>
      <c r="H40" s="409" t="s">
        <v>46</v>
      </c>
      <c r="I40" s="419" t="s">
        <v>77</v>
      </c>
      <c r="J40" s="419"/>
      <c r="K40" s="411" t="s">
        <v>48</v>
      </c>
      <c r="L40" s="414" t="s">
        <v>487</v>
      </c>
      <c r="M40" s="414"/>
      <c r="N40" s="239" t="s">
        <v>483</v>
      </c>
      <c r="O40" s="239"/>
      <c r="P40" s="239"/>
      <c r="Q40" s="411" t="s">
        <v>51</v>
      </c>
      <c r="R40" s="239">
        <v>1</v>
      </c>
      <c r="S40" s="239"/>
      <c r="T40" s="22"/>
      <c r="U40" s="1"/>
      <c r="AA40" s="35" t="s">
        <v>188</v>
      </c>
      <c r="AC40" s="48" t="s">
        <v>46</v>
      </c>
      <c r="AD40" s="413">
        <f>I42*L42^2*O42/I43/L43*(-1.5+(1+U42^2*X42)/(1+X43))/AA43</f>
        <v>1130.7475851612046</v>
      </c>
      <c r="AE40" s="413"/>
      <c r="AF40" s="413"/>
      <c r="AG40" s="47" t="str">
        <f>AB21</f>
        <v>kg/cm2</v>
      </c>
    </row>
    <row r="41" spans="1:33" ht="9.75" customHeight="1">
      <c r="A41" s="1"/>
      <c r="B41" s="1"/>
      <c r="C41" s="1"/>
      <c r="D41" s="1"/>
      <c r="E41" s="1"/>
      <c r="F41" s="417"/>
      <c r="G41" s="417"/>
      <c r="H41" s="409"/>
      <c r="I41" s="256" t="s">
        <v>81</v>
      </c>
      <c r="J41" s="256"/>
      <c r="K41" s="411"/>
      <c r="L41" s="414"/>
      <c r="M41" s="414"/>
      <c r="N41" s="256" t="s">
        <v>50</v>
      </c>
      <c r="O41" s="256"/>
      <c r="P41" s="256"/>
      <c r="Q41" s="411"/>
      <c r="R41" s="256" t="s">
        <v>223</v>
      </c>
      <c r="S41" s="256"/>
      <c r="T41" s="22"/>
      <c r="U41" s="1"/>
      <c r="AA41" s="67" t="s">
        <v>189</v>
      </c>
      <c r="AC41" s="48" t="s">
        <v>46</v>
      </c>
      <c r="AD41" s="413">
        <f>I42*L42^2*(-O42)/I43/L43*(-1.5+(1+U42^2*X42)/(1+X43))/AA43</f>
        <v>-1130.7475851612046</v>
      </c>
      <c r="AE41" s="413"/>
      <c r="AF41" s="413"/>
      <c r="AG41" s="47" t="str">
        <f>AG40</f>
        <v>kg/cm2</v>
      </c>
    </row>
    <row r="42" spans="1:34" ht="9.75" customHeight="1">
      <c r="A42" s="1"/>
      <c r="B42" s="1"/>
      <c r="C42" s="1"/>
      <c r="D42" s="1"/>
      <c r="E42" s="1"/>
      <c r="F42" s="1"/>
      <c r="G42" s="1"/>
      <c r="H42" s="409" t="s">
        <v>46</v>
      </c>
      <c r="I42" s="239">
        <f>M21</f>
        <v>10</v>
      </c>
      <c r="J42" s="239"/>
      <c r="K42" s="1" t="s">
        <v>18</v>
      </c>
      <c r="L42" s="239">
        <f>L35</f>
        <v>406</v>
      </c>
      <c r="M42" s="239"/>
      <c r="N42" s="30" t="s">
        <v>60</v>
      </c>
      <c r="O42" s="418">
        <f>sc_lco2</f>
        <v>-16</v>
      </c>
      <c r="P42" s="418"/>
      <c r="Q42" s="411" t="s">
        <v>48</v>
      </c>
      <c r="R42" s="414" t="s">
        <v>488</v>
      </c>
      <c r="S42" s="414"/>
      <c r="T42" s="2" t="s">
        <v>59</v>
      </c>
      <c r="U42" s="328">
        <f>S35</f>
        <v>0.7536945812807881</v>
      </c>
      <c r="V42" s="328"/>
      <c r="W42" s="29" t="s">
        <v>60</v>
      </c>
      <c r="X42" s="328">
        <f>V35</f>
        <v>2.319408718952748</v>
      </c>
      <c r="Y42" s="328"/>
      <c r="Z42" s="411" t="s">
        <v>51</v>
      </c>
      <c r="AA42" s="239">
        <v>1</v>
      </c>
      <c r="AB42" s="239"/>
      <c r="AC42" s="47"/>
      <c r="AH42" s="47"/>
    </row>
    <row r="43" spans="1:34" ht="9.75" customHeight="1">
      <c r="A43" s="6"/>
      <c r="B43" s="6"/>
      <c r="C43" s="6"/>
      <c r="D43" s="6"/>
      <c r="E43" s="6"/>
      <c r="F43" s="6"/>
      <c r="G43" s="6"/>
      <c r="H43" s="409"/>
      <c r="I43" s="256">
        <v>12</v>
      </c>
      <c r="J43" s="256"/>
      <c r="K43" s="21" t="s">
        <v>18</v>
      </c>
      <c r="L43" s="352">
        <f>sc_li2</f>
        <v>2730.6666666666665</v>
      </c>
      <c r="M43" s="256"/>
      <c r="N43" s="21"/>
      <c r="O43" s="21"/>
      <c r="P43" s="21"/>
      <c r="Q43" s="411"/>
      <c r="R43" s="414"/>
      <c r="S43" s="414"/>
      <c r="T43" s="21" t="s">
        <v>59</v>
      </c>
      <c r="U43" s="21"/>
      <c r="V43" s="21"/>
      <c r="W43" s="21"/>
      <c r="X43" s="363">
        <f>V36</f>
        <v>2.319408718952748</v>
      </c>
      <c r="Y43" s="363"/>
      <c r="Z43" s="411"/>
      <c r="AA43" s="363">
        <f>V21</f>
        <v>0.5707317073170732</v>
      </c>
      <c r="AB43" s="363"/>
      <c r="AC43" s="47"/>
      <c r="AH43" s="47"/>
    </row>
    <row r="44" spans="1:32" ht="9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AC44" s="3"/>
      <c r="AD44" s="66"/>
      <c r="AE44" s="66"/>
      <c r="AF44" s="66"/>
    </row>
    <row r="45" spans="1:28" ht="9.75" customHeight="1">
      <c r="A45" s="6"/>
      <c r="B45" s="6"/>
      <c r="C45" s="6"/>
      <c r="D45" s="6"/>
      <c r="E45" s="6"/>
      <c r="F45" s="417" t="s">
        <v>489</v>
      </c>
      <c r="G45" s="417"/>
      <c r="H45" s="409" t="s">
        <v>46</v>
      </c>
      <c r="I45" s="419" t="s">
        <v>77</v>
      </c>
      <c r="J45" s="419"/>
      <c r="K45" s="411" t="s">
        <v>78</v>
      </c>
      <c r="L45" s="239" t="s">
        <v>483</v>
      </c>
      <c r="M45" s="239"/>
      <c r="N45" s="239"/>
      <c r="O45" s="411" t="s">
        <v>79</v>
      </c>
      <c r="P45" s="6"/>
      <c r="Q45" s="6"/>
      <c r="R45" s="6"/>
      <c r="S45" s="6"/>
      <c r="T45" s="6"/>
      <c r="U45" s="6"/>
      <c r="V45" s="3"/>
      <c r="W45" s="3"/>
      <c r="X45" s="3"/>
      <c r="Y45" s="3"/>
      <c r="Z45" s="3"/>
      <c r="AA45" s="3"/>
      <c r="AB45" s="3"/>
    </row>
    <row r="46" spans="1:28" ht="9.75" customHeight="1">
      <c r="A46" s="6"/>
      <c r="B46" s="6"/>
      <c r="C46" s="6"/>
      <c r="D46" s="6"/>
      <c r="E46" s="6"/>
      <c r="F46" s="417"/>
      <c r="G46" s="417"/>
      <c r="H46" s="409"/>
      <c r="I46" s="256" t="s">
        <v>81</v>
      </c>
      <c r="J46" s="256"/>
      <c r="K46" s="411"/>
      <c r="L46" s="256" t="s">
        <v>50</v>
      </c>
      <c r="M46" s="256"/>
      <c r="N46" s="256"/>
      <c r="O46" s="411"/>
      <c r="P46" s="6"/>
      <c r="Q46" s="6"/>
      <c r="R46" s="6"/>
      <c r="S46" s="6"/>
      <c r="T46" s="6"/>
      <c r="U46" s="6"/>
      <c r="V46" s="3"/>
      <c r="W46" s="3"/>
      <c r="X46" s="3"/>
      <c r="Y46" s="3"/>
      <c r="Z46" s="3"/>
      <c r="AA46" s="3"/>
      <c r="AB46" s="3"/>
    </row>
    <row r="47" spans="1:34" ht="9.75" customHeight="1">
      <c r="A47" s="1"/>
      <c r="B47" s="1"/>
      <c r="C47" s="1"/>
      <c r="D47" s="1"/>
      <c r="E47" s="1"/>
      <c r="F47" s="1"/>
      <c r="G47" s="1"/>
      <c r="H47" s="409" t="s">
        <v>46</v>
      </c>
      <c r="I47" s="239">
        <f>I42</f>
        <v>10</v>
      </c>
      <c r="J47" s="239"/>
      <c r="K47" s="1" t="s">
        <v>18</v>
      </c>
      <c r="L47" s="239">
        <f>L42</f>
        <v>406</v>
      </c>
      <c r="M47" s="239"/>
      <c r="N47" s="1" t="s">
        <v>60</v>
      </c>
      <c r="O47" s="418">
        <f>O42</f>
        <v>-16</v>
      </c>
      <c r="P47" s="418"/>
      <c r="Q47" s="411" t="s">
        <v>78</v>
      </c>
      <c r="R47" s="2" t="s">
        <v>59</v>
      </c>
      <c r="S47" s="328">
        <f>U42</f>
        <v>0.7536945812807881</v>
      </c>
      <c r="T47" s="328"/>
      <c r="U47" s="29" t="s">
        <v>60</v>
      </c>
      <c r="V47" s="328">
        <f>X42</f>
        <v>2.319408718952748</v>
      </c>
      <c r="W47" s="328"/>
      <c r="X47" s="411" t="s">
        <v>79</v>
      </c>
      <c r="Z47" s="35" t="s">
        <v>186</v>
      </c>
      <c r="AC47" s="48" t="s">
        <v>46</v>
      </c>
      <c r="AD47" s="413">
        <f>I47*L47^2*O47/I48/L48*(1+S47^2*V47)/(1+V48)</f>
        <v>-561.9414220512882</v>
      </c>
      <c r="AE47" s="413"/>
      <c r="AF47" s="413"/>
      <c r="AG47" s="47" t="str">
        <f>AG40</f>
        <v>kg/cm2</v>
      </c>
      <c r="AH47" s="47"/>
    </row>
    <row r="48" spans="1:34" ht="9.75" customHeight="1">
      <c r="A48" s="6"/>
      <c r="B48" s="6"/>
      <c r="C48" s="6"/>
      <c r="D48" s="6"/>
      <c r="E48" s="6"/>
      <c r="F48" s="6"/>
      <c r="G48" s="6"/>
      <c r="H48" s="409"/>
      <c r="I48" s="256">
        <v>12</v>
      </c>
      <c r="J48" s="256"/>
      <c r="K48" s="21" t="s">
        <v>18</v>
      </c>
      <c r="L48" s="352">
        <f>L43</f>
        <v>2730.6666666666665</v>
      </c>
      <c r="M48" s="256"/>
      <c r="N48" s="21"/>
      <c r="O48" s="21"/>
      <c r="P48" s="21"/>
      <c r="Q48" s="411"/>
      <c r="R48" s="21" t="s">
        <v>59</v>
      </c>
      <c r="S48" s="21"/>
      <c r="T48" s="21"/>
      <c r="U48" s="21"/>
      <c r="V48" s="363">
        <f>X43</f>
        <v>2.319408718952748</v>
      </c>
      <c r="W48" s="363"/>
      <c r="X48" s="411"/>
      <c r="Y48" s="3"/>
      <c r="Z48" s="35" t="s">
        <v>187</v>
      </c>
      <c r="AA48" s="3"/>
      <c r="AC48" s="48" t="s">
        <v>46</v>
      </c>
      <c r="AD48" s="413">
        <f>I47*L47^2*(-O47)/I48/L48*(1+S47^2*V47)/(1+V48)</f>
        <v>561.9414220512882</v>
      </c>
      <c r="AE48" s="413"/>
      <c r="AF48" s="413"/>
      <c r="AG48" s="47" t="str">
        <f>AG47</f>
        <v>kg/cm2</v>
      </c>
      <c r="AH48" s="47"/>
    </row>
    <row r="49" spans="1:29" ht="9.75" customHeight="1">
      <c r="A49" s="1"/>
      <c r="B49" s="1"/>
      <c r="C49" s="1"/>
      <c r="D49" s="1"/>
      <c r="E49" s="1"/>
      <c r="F49" s="1"/>
      <c r="G49" s="1"/>
      <c r="N49" s="1"/>
      <c r="O49" s="1"/>
      <c r="P49" s="1"/>
      <c r="Q49" s="1"/>
      <c r="R49" s="1"/>
      <c r="S49" s="1"/>
      <c r="T49" s="1"/>
      <c r="U49" s="1"/>
      <c r="AC49" s="3"/>
    </row>
    <row r="50" spans="1:29" ht="9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3"/>
      <c r="W50" s="3"/>
      <c r="X50" s="3"/>
      <c r="Y50" s="3"/>
      <c r="Z50" s="3"/>
      <c r="AA50" s="3"/>
      <c r="AB50" s="3"/>
      <c r="AC50" s="3"/>
    </row>
    <row r="51" spans="1:29" ht="9.75" customHeight="1">
      <c r="A51" s="1"/>
      <c r="B51" s="1"/>
      <c r="C51" s="1"/>
      <c r="D51" s="9" t="s">
        <v>82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AC51" s="3"/>
    </row>
    <row r="52" spans="1:29" ht="9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3"/>
      <c r="W52" s="3"/>
      <c r="X52" s="3"/>
      <c r="Y52" s="3"/>
      <c r="Z52" s="3"/>
      <c r="AA52" s="3"/>
      <c r="AB52" s="3"/>
      <c r="AC52" s="3"/>
    </row>
    <row r="53" spans="1:37" ht="9.75" customHeight="1">
      <c r="A53" s="1"/>
      <c r="B53" s="1"/>
      <c r="C53" s="1"/>
      <c r="D53" s="1"/>
      <c r="E53" s="9" t="str">
        <f>E15</f>
        <v>Top / Bottom Plate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AC53" s="3"/>
      <c r="AD53" s="341">
        <v>1.5</v>
      </c>
      <c r="AE53" s="341"/>
      <c r="AF53" s="27" t="s">
        <v>490</v>
      </c>
      <c r="AJ53" s="239" t="s">
        <v>228</v>
      </c>
      <c r="AK53" s="239"/>
    </row>
    <row r="54" spans="1:37" ht="9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AC54" s="3"/>
      <c r="AJ54" s="416" t="s">
        <v>229</v>
      </c>
      <c r="AK54" s="416"/>
    </row>
    <row r="55" spans="1:37" ht="9.75" customHeight="1">
      <c r="A55" s="1"/>
      <c r="B55" s="1"/>
      <c r="C55" s="1"/>
      <c r="D55" s="1"/>
      <c r="E55" s="1"/>
      <c r="F55" s="9" t="s">
        <v>83</v>
      </c>
      <c r="G55" s="1"/>
      <c r="H55" s="1" t="s">
        <v>46</v>
      </c>
      <c r="I55" s="288" t="str">
        <f>F17</f>
        <v>SmS</v>
      </c>
      <c r="J55" s="288"/>
      <c r="K55" s="19" t="s">
        <v>55</v>
      </c>
      <c r="L55" s="288" t="str">
        <f>F28</f>
        <v>(Sb)N</v>
      </c>
      <c r="M55" s="288"/>
      <c r="N55" s="19" t="s">
        <v>46</v>
      </c>
      <c r="O55" s="318">
        <f>Y17</f>
        <v>92.27272727272727</v>
      </c>
      <c r="P55" s="318"/>
      <c r="Q55" s="318"/>
      <c r="R55" s="19" t="s">
        <v>55</v>
      </c>
      <c r="S55" s="318">
        <f>AD28</f>
        <v>262.0702145030598</v>
      </c>
      <c r="T55" s="318"/>
      <c r="U55" s="318"/>
      <c r="V55" s="35" t="s">
        <v>188</v>
      </c>
      <c r="X55" s="8" t="s">
        <v>46</v>
      </c>
      <c r="Y55" s="412">
        <f>O55+S55</f>
        <v>354.34294177578704</v>
      </c>
      <c r="Z55" s="412"/>
      <c r="AA55" s="412"/>
      <c r="AB55" s="2" t="str">
        <f>AG29</f>
        <v>kg/cm2</v>
      </c>
      <c r="AC55" s="23" t="str">
        <f>IF(ABS(Y55)&lt;=ABS(AD55),"&lt;","&gt;")</f>
        <v>&lt;</v>
      </c>
      <c r="AD55" s="264">
        <f>AD53*AD17</f>
        <v>1560.1658058562302</v>
      </c>
      <c r="AE55" s="264"/>
      <c r="AF55" s="264"/>
      <c r="AG55" s="410" t="str">
        <f>IF(ABS(Y55)&lt;=ABS(AD55),"OK !","NO !")</f>
        <v>OK !</v>
      </c>
      <c r="AH55" s="410"/>
      <c r="AJ55" s="328">
        <f>ABS(Y55/AD55)</f>
        <v>0.22711877189317137</v>
      </c>
      <c r="AK55" s="328"/>
    </row>
    <row r="56" spans="1:37" ht="9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19" t="s">
        <v>46</v>
      </c>
      <c r="O56" s="318">
        <f>O55</f>
        <v>92.27272727272727</v>
      </c>
      <c r="P56" s="318"/>
      <c r="Q56" s="318"/>
      <c r="R56" s="19" t="s">
        <v>55</v>
      </c>
      <c r="S56" s="318">
        <f>AD29</f>
        <v>-262.0702145030598</v>
      </c>
      <c r="T56" s="318"/>
      <c r="U56" s="318"/>
      <c r="V56" s="67" t="s">
        <v>189</v>
      </c>
      <c r="W56" s="3"/>
      <c r="X56" s="8" t="s">
        <v>46</v>
      </c>
      <c r="Y56" s="412">
        <f>O56+S56</f>
        <v>-169.79748723033254</v>
      </c>
      <c r="Z56" s="412"/>
      <c r="AA56" s="412"/>
      <c r="AB56" s="2" t="str">
        <f>AB55</f>
        <v>kg/cm2</v>
      </c>
      <c r="AC56" s="23" t="str">
        <f>IF(ABS(Y56)&lt;=ABS(AD56),"&lt;","&gt;")</f>
        <v>&lt;</v>
      </c>
      <c r="AD56" s="264">
        <f>AD55</f>
        <v>1560.1658058562302</v>
      </c>
      <c r="AE56" s="264"/>
      <c r="AF56" s="264"/>
      <c r="AG56" s="410" t="str">
        <f>IF(ABS(Y56)&lt;=ABS(AD56),"OK !","NO !")</f>
        <v>OK !</v>
      </c>
      <c r="AH56" s="410"/>
      <c r="AJ56" s="328">
        <f>ABS(Y56/AD56)</f>
        <v>0.10883297569590461</v>
      </c>
      <c r="AK56" s="328"/>
    </row>
    <row r="57" spans="1:29" ht="9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3"/>
      <c r="W57" s="3"/>
      <c r="X57" s="3"/>
      <c r="Y57" s="3"/>
      <c r="Z57" s="3"/>
      <c r="AA57" s="3"/>
      <c r="AB57" s="3"/>
      <c r="AC57" s="3"/>
    </row>
    <row r="58" spans="1:37" ht="9.75" customHeight="1">
      <c r="A58" s="1"/>
      <c r="B58" s="1"/>
      <c r="C58" s="1"/>
      <c r="D58" s="1"/>
      <c r="E58" s="1"/>
      <c r="F58" s="9" t="s">
        <v>86</v>
      </c>
      <c r="G58" s="1"/>
      <c r="H58" s="1" t="s">
        <v>46</v>
      </c>
      <c r="I58" s="288" t="str">
        <f>F17</f>
        <v>SmS</v>
      </c>
      <c r="J58" s="288"/>
      <c r="K58" s="19" t="s">
        <v>55</v>
      </c>
      <c r="L58" s="288" t="str">
        <f>F33</f>
        <v>(Sb)QS</v>
      </c>
      <c r="M58" s="288"/>
      <c r="N58" s="19" t="s">
        <v>46</v>
      </c>
      <c r="O58" s="318">
        <f>Y17</f>
        <v>92.27272727272727</v>
      </c>
      <c r="P58" s="318"/>
      <c r="Q58" s="318"/>
      <c r="R58" s="19" t="s">
        <v>55</v>
      </c>
      <c r="S58" s="318">
        <f>AD35</f>
        <v>-1188.9008598771054</v>
      </c>
      <c r="T58" s="318"/>
      <c r="U58" s="318"/>
      <c r="V58" s="35" t="s">
        <v>188</v>
      </c>
      <c r="X58" s="8" t="s">
        <v>46</v>
      </c>
      <c r="Y58" s="412">
        <f>O58+S58</f>
        <v>-1096.6281326043782</v>
      </c>
      <c r="Z58" s="412"/>
      <c r="AA58" s="412"/>
      <c r="AB58" s="2" t="str">
        <f>AG36</f>
        <v>kg/cm2</v>
      </c>
      <c r="AC58" s="23" t="str">
        <f>IF(ABS(Y58)&lt;=ABS(AD58),"&lt;","&gt;")</f>
        <v>&lt;</v>
      </c>
      <c r="AD58" s="264">
        <f>AD55</f>
        <v>1560.1658058562302</v>
      </c>
      <c r="AE58" s="264"/>
      <c r="AF58" s="264"/>
      <c r="AG58" s="410" t="str">
        <f>IF(ABS(Y58)&lt;=ABS(AD58),"OK !","NO !")</f>
        <v>OK !</v>
      </c>
      <c r="AH58" s="410"/>
      <c r="AJ58" s="328">
        <f>ABS(Y58/AD58)</f>
        <v>0.702892044222531</v>
      </c>
      <c r="AK58" s="328"/>
    </row>
    <row r="59" spans="1:50" ht="9.75" customHeight="1">
      <c r="A59" s="6"/>
      <c r="B59" s="6"/>
      <c r="C59" s="6"/>
      <c r="D59" s="6"/>
      <c r="E59" s="6"/>
      <c r="F59" s="6"/>
      <c r="G59" s="6"/>
      <c r="N59" s="19" t="s">
        <v>46</v>
      </c>
      <c r="O59" s="318">
        <f>O58</f>
        <v>92.27272727272727</v>
      </c>
      <c r="P59" s="318"/>
      <c r="Q59" s="318"/>
      <c r="R59" s="19" t="s">
        <v>55</v>
      </c>
      <c r="S59" s="318">
        <f>AD36</f>
        <v>1188.9008598771054</v>
      </c>
      <c r="T59" s="318"/>
      <c r="U59" s="318"/>
      <c r="V59" s="67" t="s">
        <v>189</v>
      </c>
      <c r="W59" s="3"/>
      <c r="X59" s="8" t="s">
        <v>46</v>
      </c>
      <c r="Y59" s="412">
        <f>O59+S59</f>
        <v>1281.1735871498327</v>
      </c>
      <c r="Z59" s="412"/>
      <c r="AA59" s="412"/>
      <c r="AB59" s="2" t="str">
        <f>AB58</f>
        <v>kg/cm2</v>
      </c>
      <c r="AC59" s="23" t="str">
        <f>IF(ABS(Y59)&lt;=ABS(AD59),"&lt;","&gt;")</f>
        <v>&lt;</v>
      </c>
      <c r="AD59" s="264">
        <f>AD58</f>
        <v>1560.1658058562302</v>
      </c>
      <c r="AE59" s="264"/>
      <c r="AF59" s="264"/>
      <c r="AG59" s="410" t="str">
        <f>IF(ABS(Y59)&lt;=ABS(AD59),"OK !","NO !")</f>
        <v>OK !</v>
      </c>
      <c r="AH59" s="410"/>
      <c r="AJ59" s="328">
        <f>ABS(Y59/AD59)</f>
        <v>0.8211778404197978</v>
      </c>
      <c r="AK59" s="328"/>
      <c r="AX59" s="3"/>
    </row>
    <row r="60" spans="1:37" ht="9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3"/>
      <c r="W60" s="3"/>
      <c r="X60" s="145" t="s">
        <v>491</v>
      </c>
      <c r="Y60" s="420">
        <f>MAX(ABS(Y55),ABS(Y56),ABS(Y58),ABS(Y59))</f>
        <v>1281.1735871498327</v>
      </c>
      <c r="Z60" s="420"/>
      <c r="AA60" s="420"/>
      <c r="AC60" s="3"/>
      <c r="AD60" s="68"/>
      <c r="AE60" s="68"/>
      <c r="AF60" s="68"/>
      <c r="AJ60" s="421">
        <f>MAX(ABS(AJ55),ABS(AJ56),ABS(AJ58),ABS(AJ59))</f>
        <v>0.8211778404197978</v>
      </c>
      <c r="AK60" s="421"/>
    </row>
    <row r="61" spans="1:32" ht="9.75" customHeight="1">
      <c r="A61" s="6"/>
      <c r="B61" s="6"/>
      <c r="C61" s="6"/>
      <c r="D61" s="6"/>
      <c r="E61" s="9" t="str">
        <f>E19</f>
        <v>Tube Plate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3"/>
      <c r="W61" s="3"/>
      <c r="X61" s="3"/>
      <c r="AC61" s="3"/>
      <c r="AD61" s="3"/>
      <c r="AE61" s="3"/>
      <c r="AF61" s="3"/>
    </row>
    <row r="62" spans="1:25" ht="9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Y62" s="3"/>
    </row>
    <row r="63" spans="1:37" ht="9.75" customHeight="1">
      <c r="A63" s="6"/>
      <c r="B63" s="6"/>
      <c r="C63" s="6"/>
      <c r="D63" s="6"/>
      <c r="E63" s="6"/>
      <c r="F63" s="9" t="s">
        <v>492</v>
      </c>
      <c r="G63" s="1"/>
      <c r="H63" s="1" t="s">
        <v>46</v>
      </c>
      <c r="I63" s="288" t="str">
        <f>F21</f>
        <v>SmL</v>
      </c>
      <c r="J63" s="288"/>
      <c r="K63" s="19" t="s">
        <v>55</v>
      </c>
      <c r="L63" s="288" t="str">
        <f>F40</f>
        <v>(Sb)M</v>
      </c>
      <c r="M63" s="288"/>
      <c r="N63" s="19" t="s">
        <v>46</v>
      </c>
      <c r="O63" s="318">
        <f>Y21</f>
        <v>83.77403846153845</v>
      </c>
      <c r="P63" s="318"/>
      <c r="Q63" s="318"/>
      <c r="R63" s="19" t="s">
        <v>55</v>
      </c>
      <c r="S63" s="318">
        <f>AD40</f>
        <v>1130.7475851612046</v>
      </c>
      <c r="T63" s="318"/>
      <c r="U63" s="318"/>
      <c r="V63" s="35" t="s">
        <v>188</v>
      </c>
      <c r="X63" s="8" t="s">
        <v>46</v>
      </c>
      <c r="Y63" s="412">
        <f>O63+S63</f>
        <v>1214.521623622743</v>
      </c>
      <c r="Z63" s="412"/>
      <c r="AA63" s="412"/>
      <c r="AB63" s="2" t="str">
        <f>AG41</f>
        <v>kg/cm2</v>
      </c>
      <c r="AC63" s="23" t="str">
        <f>IF(ABS(Y63)&lt;=ABS(AD63),"&lt;","&gt;")</f>
        <v>&lt;</v>
      </c>
      <c r="AD63" s="264">
        <f>AD53*AD21</f>
        <v>1560.1658058562302</v>
      </c>
      <c r="AE63" s="264"/>
      <c r="AF63" s="264"/>
      <c r="AG63" s="410" t="str">
        <f>IF(ABS(Y63)&lt;=ABS(AD63),"OK !","NO !")</f>
        <v>OK !</v>
      </c>
      <c r="AH63" s="410"/>
      <c r="AJ63" s="328">
        <f>ABS(Y63/AD63)</f>
        <v>0.7784567634182988</v>
      </c>
      <c r="AK63" s="328"/>
    </row>
    <row r="64" spans="1:37" ht="9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19" t="s">
        <v>46</v>
      </c>
      <c r="O64" s="318">
        <f>O63</f>
        <v>83.77403846153845</v>
      </c>
      <c r="P64" s="318"/>
      <c r="Q64" s="318"/>
      <c r="R64" s="19" t="s">
        <v>55</v>
      </c>
      <c r="S64" s="318">
        <f>AD41</f>
        <v>-1130.7475851612046</v>
      </c>
      <c r="T64" s="318"/>
      <c r="U64" s="318"/>
      <c r="V64" s="67" t="s">
        <v>189</v>
      </c>
      <c r="W64" s="3"/>
      <c r="X64" s="8" t="s">
        <v>46</v>
      </c>
      <c r="Y64" s="412">
        <f>O64+S64</f>
        <v>-1046.9735466996663</v>
      </c>
      <c r="Z64" s="412"/>
      <c r="AA64" s="412"/>
      <c r="AB64" s="2" t="str">
        <f>AB63</f>
        <v>kg/cm2</v>
      </c>
      <c r="AC64" s="23" t="str">
        <f>IF(ABS(Y64)&lt;=ABS(AD64),"&lt;","&gt;")</f>
        <v>&lt;</v>
      </c>
      <c r="AD64" s="264">
        <f>AD63</f>
        <v>1560.1658058562302</v>
      </c>
      <c r="AE64" s="264"/>
      <c r="AF64" s="264"/>
      <c r="AG64" s="410" t="str">
        <f>IF(ABS(Y64)&lt;=ABS(AD64),"OK !","NO !")</f>
        <v>OK !</v>
      </c>
      <c r="AH64" s="410"/>
      <c r="AJ64" s="328">
        <f>ABS(Y64/AD64)</f>
        <v>0.6710655641661623</v>
      </c>
      <c r="AK64" s="328"/>
    </row>
    <row r="65" spans="1:32" ht="9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AD65" s="69"/>
      <c r="AE65" s="69"/>
      <c r="AF65" s="69"/>
    </row>
    <row r="66" spans="1:37" ht="9.75" customHeight="1">
      <c r="A66" s="1"/>
      <c r="B66" s="1"/>
      <c r="C66" s="1"/>
      <c r="D66" s="1"/>
      <c r="E66" s="1"/>
      <c r="F66" s="9" t="s">
        <v>86</v>
      </c>
      <c r="G66" s="1"/>
      <c r="H66" s="1" t="s">
        <v>46</v>
      </c>
      <c r="I66" s="288" t="str">
        <f>F21</f>
        <v>SmL</v>
      </c>
      <c r="J66" s="288"/>
      <c r="K66" s="19" t="s">
        <v>55</v>
      </c>
      <c r="L66" s="288" t="str">
        <f>F45</f>
        <v>(Sb)QL</v>
      </c>
      <c r="M66" s="288"/>
      <c r="N66" s="19" t="s">
        <v>46</v>
      </c>
      <c r="O66" s="318">
        <f>Y21</f>
        <v>83.77403846153845</v>
      </c>
      <c r="P66" s="318"/>
      <c r="Q66" s="318"/>
      <c r="R66" s="19" t="s">
        <v>55</v>
      </c>
      <c r="S66" s="318">
        <f>AD47</f>
        <v>-561.9414220512882</v>
      </c>
      <c r="T66" s="318"/>
      <c r="U66" s="318"/>
      <c r="V66" s="35" t="s">
        <v>188</v>
      </c>
      <c r="X66" s="8" t="s">
        <v>46</v>
      </c>
      <c r="Y66" s="412">
        <f>O66+S66</f>
        <v>-478.16738358974976</v>
      </c>
      <c r="Z66" s="412"/>
      <c r="AA66" s="412"/>
      <c r="AB66" s="2" t="str">
        <f>AG48</f>
        <v>kg/cm2</v>
      </c>
      <c r="AC66" s="23" t="str">
        <f>IF(ABS(Y66)&lt;=ABS(AD66),"&lt;","&gt;")</f>
        <v>&lt;</v>
      </c>
      <c r="AD66" s="264">
        <f>AD63</f>
        <v>1560.1658058562302</v>
      </c>
      <c r="AE66" s="264"/>
      <c r="AF66" s="264"/>
      <c r="AG66" s="410" t="str">
        <f>IF(ABS(Y66)&lt;=ABS(AD66),"OK !","NO !")</f>
        <v>OK !</v>
      </c>
      <c r="AH66" s="410"/>
      <c r="AJ66" s="328">
        <f>ABS(Y66/AD66)</f>
        <v>0.30648497858041956</v>
      </c>
      <c r="AK66" s="328"/>
    </row>
    <row r="67" spans="1:37" ht="9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19" t="s">
        <v>46</v>
      </c>
      <c r="O67" s="318">
        <f>O66</f>
        <v>83.77403846153845</v>
      </c>
      <c r="P67" s="318"/>
      <c r="Q67" s="318"/>
      <c r="R67" s="19" t="s">
        <v>55</v>
      </c>
      <c r="S67" s="318">
        <f>AD48</f>
        <v>561.9414220512882</v>
      </c>
      <c r="T67" s="318"/>
      <c r="U67" s="318"/>
      <c r="V67" s="67" t="s">
        <v>189</v>
      </c>
      <c r="W67" s="3"/>
      <c r="X67" s="8" t="s">
        <v>46</v>
      </c>
      <c r="Y67" s="412">
        <f>O67+S67</f>
        <v>645.7154605128267</v>
      </c>
      <c r="Z67" s="412"/>
      <c r="AA67" s="412"/>
      <c r="AB67" s="2" t="str">
        <f>AB66</f>
        <v>kg/cm2</v>
      </c>
      <c r="AC67" s="23" t="str">
        <f>IF(ABS(Y67)&lt;=ABS(AD67),"&lt;","&gt;")</f>
        <v>&lt;</v>
      </c>
      <c r="AD67" s="264">
        <f>AD66</f>
        <v>1560.1658058562302</v>
      </c>
      <c r="AE67" s="264"/>
      <c r="AF67" s="264"/>
      <c r="AG67" s="410" t="str">
        <f>IF(ABS(Y67)&lt;=ABS(AD67),"OK !","NO !")</f>
        <v>OK !</v>
      </c>
      <c r="AH67" s="410"/>
      <c r="AJ67" s="328">
        <f>ABS(Y67/AD67)</f>
        <v>0.4138761778325563</v>
      </c>
      <c r="AK67" s="328"/>
    </row>
    <row r="68" spans="1:50" ht="9.75" customHeight="1">
      <c r="A68" s="1"/>
      <c r="B68" s="1"/>
      <c r="C68" s="1"/>
      <c r="D68" s="1"/>
      <c r="E68" s="1"/>
      <c r="F68" s="1"/>
      <c r="G68" s="1"/>
      <c r="N68" s="1"/>
      <c r="O68" s="1"/>
      <c r="P68" s="1"/>
      <c r="Q68" s="1"/>
      <c r="R68" s="1"/>
      <c r="S68" s="1"/>
      <c r="T68" s="1"/>
      <c r="U68" s="1"/>
      <c r="X68" s="145" t="str">
        <f>X60</f>
        <v>Max. &gt; </v>
      </c>
      <c r="Y68" s="420">
        <f>MAX(ABS(Y63),ABS(Y64),ABS(Y66),ABS(Y67))</f>
        <v>1214.521623622743</v>
      </c>
      <c r="Z68" s="420"/>
      <c r="AA68" s="420"/>
      <c r="AC68" s="3"/>
      <c r="AJ68" s="421">
        <f>MAX(ABS(AJ63),ABS(AJ64),ABS(AJ66),ABS(AJ67))</f>
        <v>0.7784567634182988</v>
      </c>
      <c r="AK68" s="421"/>
      <c r="AX68" s="1"/>
    </row>
    <row r="69" spans="1:21" ht="9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9" ht="9.75" customHeight="1">
      <c r="A70" s="6"/>
      <c r="B70" s="6"/>
      <c r="C70" s="6"/>
      <c r="D70" s="6"/>
      <c r="E70" s="6"/>
      <c r="F70" s="6"/>
      <c r="G70" s="6"/>
      <c r="N70" s="6"/>
      <c r="O70" s="6"/>
      <c r="P70" s="6"/>
      <c r="Q70" s="6"/>
      <c r="R70" s="6"/>
      <c r="S70" s="6"/>
      <c r="T70" s="6"/>
      <c r="U70" s="6"/>
      <c r="V70" s="3"/>
      <c r="W70" s="3"/>
      <c r="X70" s="3"/>
      <c r="Y70" s="3"/>
      <c r="Z70" s="3"/>
      <c r="AA70" s="3"/>
      <c r="AB70" s="3"/>
      <c r="AC70" s="3"/>
    </row>
    <row r="71" spans="1:29" ht="9.75" customHeight="1">
      <c r="A71" s="1"/>
      <c r="B71" s="1"/>
      <c r="C71" s="1"/>
      <c r="D71" s="1"/>
      <c r="E71" s="1"/>
      <c r="F71" s="1"/>
      <c r="G71" s="1"/>
      <c r="N71" s="1"/>
      <c r="O71" s="1"/>
      <c r="P71" s="1"/>
      <c r="Q71" s="1"/>
      <c r="R71" s="1"/>
      <c r="S71" s="1"/>
      <c r="T71" s="1"/>
      <c r="U71" s="1"/>
      <c r="AC71" s="3"/>
    </row>
    <row r="72" spans="1:29" ht="9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AC72" s="3"/>
    </row>
    <row r="73" spans="1:28" ht="9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3"/>
      <c r="W73" s="3"/>
      <c r="X73" s="3"/>
      <c r="Y73" s="3"/>
      <c r="Z73" s="3"/>
      <c r="AA73" s="3"/>
      <c r="AB73" s="3"/>
    </row>
    <row r="74" spans="1:28" ht="9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34" ht="9.75" customHeight="1">
      <c r="A75" s="10" t="str">
        <f>cosymbol</f>
        <v> NTES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1" t="str">
        <f>coname</f>
        <v>Narai Thermal Engineering Services </v>
      </c>
    </row>
    <row r="117" ht="13.5" customHeight="1"/>
    <row r="118" ht="13.5" customHeight="1"/>
  </sheetData>
  <mergeCells count="184">
    <mergeCell ref="Y68:AA68"/>
    <mergeCell ref="AJ60:AK60"/>
    <mergeCell ref="AJ68:AK68"/>
    <mergeCell ref="AJ53:AK53"/>
    <mergeCell ref="AJ54:AK54"/>
    <mergeCell ref="AJ55:AK55"/>
    <mergeCell ref="Y60:AA60"/>
    <mergeCell ref="AJ63:AK63"/>
    <mergeCell ref="AJ64:AK64"/>
    <mergeCell ref="AJ66:AK66"/>
    <mergeCell ref="AJ67:AK67"/>
    <mergeCell ref="AG66:AH66"/>
    <mergeCell ref="AG55:AH55"/>
    <mergeCell ref="AD55:AF55"/>
    <mergeCell ref="AG56:AH56"/>
    <mergeCell ref="AG59:AH59"/>
    <mergeCell ref="AG64:AH64"/>
    <mergeCell ref="AG63:AH63"/>
    <mergeCell ref="AD58:AF58"/>
    <mergeCell ref="AJ59:AK59"/>
    <mergeCell ref="O66:Q66"/>
    <mergeCell ref="S66:U66"/>
    <mergeCell ref="Y66:AA66"/>
    <mergeCell ref="O58:Q58"/>
    <mergeCell ref="S58:U58"/>
    <mergeCell ref="Y58:AA58"/>
    <mergeCell ref="O63:Q63"/>
    <mergeCell ref="O59:Q59"/>
    <mergeCell ref="O64:Q64"/>
    <mergeCell ref="S64:U64"/>
    <mergeCell ref="H47:H48"/>
    <mergeCell ref="I47:J47"/>
    <mergeCell ref="L47:M47"/>
    <mergeCell ref="O47:P47"/>
    <mergeCell ref="I48:J48"/>
    <mergeCell ref="L48:M48"/>
    <mergeCell ref="S63:U63"/>
    <mergeCell ref="X35:X36"/>
    <mergeCell ref="V35:W35"/>
    <mergeCell ref="V36:W36"/>
    <mergeCell ref="X42:Y42"/>
    <mergeCell ref="U42:V42"/>
    <mergeCell ref="S59:U59"/>
    <mergeCell ref="S56:U56"/>
    <mergeCell ref="V48:W48"/>
    <mergeCell ref="S55:U55"/>
    <mergeCell ref="F45:G46"/>
    <mergeCell ref="H45:H46"/>
    <mergeCell ref="I45:J45"/>
    <mergeCell ref="K45:K46"/>
    <mergeCell ref="I46:J46"/>
    <mergeCell ref="L35:M35"/>
    <mergeCell ref="O35:P35"/>
    <mergeCell ref="I43:J43"/>
    <mergeCell ref="L43:M43"/>
    <mergeCell ref="I36:J36"/>
    <mergeCell ref="L36:M36"/>
    <mergeCell ref="L42:M42"/>
    <mergeCell ref="O42:P42"/>
    <mergeCell ref="K40:K41"/>
    <mergeCell ref="H35:H36"/>
    <mergeCell ref="I35:J35"/>
    <mergeCell ref="H42:H43"/>
    <mergeCell ref="I42:J42"/>
    <mergeCell ref="F40:G41"/>
    <mergeCell ref="H40:H41"/>
    <mergeCell ref="I40:J40"/>
    <mergeCell ref="I41:J41"/>
    <mergeCell ref="K33:K34"/>
    <mergeCell ref="S30:S31"/>
    <mergeCell ref="T30:T31"/>
    <mergeCell ref="U30:V31"/>
    <mergeCell ref="L33:N33"/>
    <mergeCell ref="L34:N34"/>
    <mergeCell ref="O33:O34"/>
    <mergeCell ref="N30:N31"/>
    <mergeCell ref="O30:P31"/>
    <mergeCell ref="Q30:R31"/>
    <mergeCell ref="F33:G34"/>
    <mergeCell ref="H33:H34"/>
    <mergeCell ref="I34:J34"/>
    <mergeCell ref="I33:J33"/>
    <mergeCell ref="H30:H31"/>
    <mergeCell ref="L31:M31"/>
    <mergeCell ref="I31:J31"/>
    <mergeCell ref="I30:J30"/>
    <mergeCell ref="L30:M30"/>
    <mergeCell ref="F28:G29"/>
    <mergeCell ref="I28:J28"/>
    <mergeCell ref="I29:J29"/>
    <mergeCell ref="M21:N21"/>
    <mergeCell ref="L28:O29"/>
    <mergeCell ref="K28:K29"/>
    <mergeCell ref="H28:H29"/>
    <mergeCell ref="P21:Q21"/>
    <mergeCell ref="S21:T21"/>
    <mergeCell ref="Y21:AA21"/>
    <mergeCell ref="V21:W21"/>
    <mergeCell ref="AG21:AH21"/>
    <mergeCell ref="A2:Y4"/>
    <mergeCell ref="AD2:AH2"/>
    <mergeCell ref="AD3:AH3"/>
    <mergeCell ref="M17:N17"/>
    <mergeCell ref="P17:Q17"/>
    <mergeCell ref="S17:T17"/>
    <mergeCell ref="Y17:AA17"/>
    <mergeCell ref="V17:W17"/>
    <mergeCell ref="AD15:AF15"/>
    <mergeCell ref="AD1:AH1"/>
    <mergeCell ref="AD4:AE4"/>
    <mergeCell ref="AG4:AH4"/>
    <mergeCell ref="AG17:AH17"/>
    <mergeCell ref="AD17:AF17"/>
    <mergeCell ref="Y63:AA63"/>
    <mergeCell ref="AA42:AB42"/>
    <mergeCell ref="AA43:AB43"/>
    <mergeCell ref="AD21:AF21"/>
    <mergeCell ref="Y30:Z30"/>
    <mergeCell ref="Y55:AA55"/>
    <mergeCell ref="AB30:AC30"/>
    <mergeCell ref="R42:S43"/>
    <mergeCell ref="R40:S40"/>
    <mergeCell ref="R41:S41"/>
    <mergeCell ref="AE31:AF31"/>
    <mergeCell ref="AB31:AC31"/>
    <mergeCell ref="AD30:AD31"/>
    <mergeCell ref="L55:M55"/>
    <mergeCell ref="L58:M58"/>
    <mergeCell ref="N41:P41"/>
    <mergeCell ref="L40:M41"/>
    <mergeCell ref="O45:O46"/>
    <mergeCell ref="O56:Q56"/>
    <mergeCell ref="O55:Q55"/>
    <mergeCell ref="Q47:Q48"/>
    <mergeCell ref="Q42:Q43"/>
    <mergeCell ref="L63:M63"/>
    <mergeCell ref="L66:M66"/>
    <mergeCell ref="AD53:AE53"/>
    <mergeCell ref="N40:P40"/>
    <mergeCell ref="Q40:Q41"/>
    <mergeCell ref="AD63:AF63"/>
    <mergeCell ref="L46:N46"/>
    <mergeCell ref="L45:N45"/>
    <mergeCell ref="AD66:AF66"/>
    <mergeCell ref="V47:W47"/>
    <mergeCell ref="I55:J55"/>
    <mergeCell ref="I58:J58"/>
    <mergeCell ref="I63:J63"/>
    <mergeCell ref="I66:J66"/>
    <mergeCell ref="AD67:AF67"/>
    <mergeCell ref="AD28:AF28"/>
    <mergeCell ref="AD35:AF35"/>
    <mergeCell ref="AD47:AF47"/>
    <mergeCell ref="AD40:AF40"/>
    <mergeCell ref="AD29:AF29"/>
    <mergeCell ref="AD36:AF36"/>
    <mergeCell ref="AD41:AF41"/>
    <mergeCell ref="AD48:AF48"/>
    <mergeCell ref="AE30:AF30"/>
    <mergeCell ref="AG67:AH67"/>
    <mergeCell ref="O67:Q67"/>
    <mergeCell ref="S67:U67"/>
    <mergeCell ref="Y56:AA56"/>
    <mergeCell ref="AD56:AF56"/>
    <mergeCell ref="Y59:AA59"/>
    <mergeCell ref="AD59:AF59"/>
    <mergeCell ref="Y64:AA64"/>
    <mergeCell ref="AD64:AF64"/>
    <mergeCell ref="Y67:AA67"/>
    <mergeCell ref="S28:S29"/>
    <mergeCell ref="P28:R28"/>
    <mergeCell ref="P29:R29"/>
    <mergeCell ref="S35:T35"/>
    <mergeCell ref="Q35:Q36"/>
    <mergeCell ref="AJ56:AK56"/>
    <mergeCell ref="AJ58:AK58"/>
    <mergeCell ref="T28:U28"/>
    <mergeCell ref="T29:U29"/>
    <mergeCell ref="W30:W31"/>
    <mergeCell ref="S47:T47"/>
    <mergeCell ref="AG58:AH58"/>
    <mergeCell ref="Z42:Z43"/>
    <mergeCell ref="X43:Y43"/>
    <mergeCell ref="X47:X48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K75"/>
  <sheetViews>
    <sheetView view="pageBreakPreview" zoomScaleSheetLayoutView="100" workbookViewId="0" topLeftCell="A1">
      <selection activeCell="X6" sqref="X6"/>
    </sheetView>
  </sheetViews>
  <sheetFormatPr defaultColWidth="8.88671875" defaultRowHeight="13.5"/>
  <cols>
    <col min="1" max="50" width="2.3359375" style="2" customWidth="1"/>
    <col min="51" max="16384" width="8.88671875" style="2" customWidth="1"/>
  </cols>
  <sheetData>
    <row r="1" spans="1:34" ht="9.75" customHeight="1">
      <c r="A1" s="55"/>
      <c r="B1" s="133" t="str">
        <f>sc_title2</f>
        <v>H E A D E R     B O X</v>
      </c>
      <c r="C1" s="133"/>
      <c r="D1" s="133"/>
      <c r="E1" s="133"/>
      <c r="F1" s="133"/>
      <c r="G1" s="133"/>
      <c r="H1" s="133" t="s">
        <v>429</v>
      </c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41" t="s">
        <v>422</v>
      </c>
      <c r="AA1" s="41"/>
      <c r="AB1" s="41"/>
      <c r="AC1" s="135"/>
      <c r="AD1" s="276" t="str">
        <f>sc_docno</f>
        <v>SC - RPV - 100</v>
      </c>
      <c r="AE1" s="276"/>
      <c r="AF1" s="276"/>
      <c r="AG1" s="276"/>
      <c r="AH1" s="276"/>
    </row>
    <row r="2" spans="1:34" ht="9.75" customHeight="1">
      <c r="A2" s="415" t="str">
        <f>sc_title</f>
        <v>S T R E N G T H     C A L C U L A T I O N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37" t="s">
        <v>423</v>
      </c>
      <c r="AA2" s="37"/>
      <c r="AB2" s="37"/>
      <c r="AC2" s="136"/>
      <c r="AD2" s="263" t="str">
        <f>sc_date</f>
        <v>2019.  7.  15.</v>
      </c>
      <c r="AE2" s="263"/>
      <c r="AF2" s="263"/>
      <c r="AG2" s="263"/>
      <c r="AH2" s="263"/>
    </row>
    <row r="3" spans="1:34" ht="9.75" customHeight="1">
      <c r="A3" s="415"/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37" t="s">
        <v>424</v>
      </c>
      <c r="AA3" s="37"/>
      <c r="AB3" s="37"/>
      <c r="AC3" s="136"/>
      <c r="AD3" s="263">
        <f>sc_revno</f>
        <v>0</v>
      </c>
      <c r="AE3" s="263"/>
      <c r="AF3" s="263"/>
      <c r="AG3" s="263"/>
      <c r="AH3" s="263"/>
    </row>
    <row r="4" spans="1:34" ht="9.75" customHeight="1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51" t="s">
        <v>425</v>
      </c>
      <c r="AA4" s="51"/>
      <c r="AB4" s="51"/>
      <c r="AC4" s="51"/>
      <c r="AD4" s="204">
        <v>2</v>
      </c>
      <c r="AE4" s="204"/>
      <c r="AF4" s="73" t="s">
        <v>0</v>
      </c>
      <c r="AG4" s="236" t="str">
        <f>sc_sheetqty</f>
        <v>x</v>
      </c>
      <c r="AH4" s="236"/>
    </row>
    <row r="5" spans="1:29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C5" s="3"/>
    </row>
    <row r="6" spans="1:34" ht="9.75" customHeight="1">
      <c r="A6" s="6"/>
      <c r="B6" s="6" t="s">
        <v>105</v>
      </c>
      <c r="C6" s="6"/>
      <c r="D6" s="6"/>
      <c r="E6" s="7" t="str">
        <f>project</f>
        <v>Later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3"/>
      <c r="R6" s="3"/>
      <c r="S6" s="3"/>
      <c r="T6" s="5"/>
      <c r="U6" s="5"/>
      <c r="V6" s="5"/>
      <c r="Y6" s="3"/>
      <c r="Z6" s="3"/>
      <c r="AA6" s="3"/>
      <c r="AB6" s="3"/>
      <c r="AC6" s="3"/>
      <c r="AD6" s="3"/>
      <c r="AE6" s="3"/>
      <c r="AF6" s="3"/>
      <c r="AG6" s="3"/>
      <c r="AH6" s="4"/>
    </row>
    <row r="7" spans="1:34" ht="9.75" customHeight="1">
      <c r="A7" s="6"/>
      <c r="B7" s="6" t="s">
        <v>106</v>
      </c>
      <c r="C7" s="6"/>
      <c r="D7" s="6"/>
      <c r="E7" s="7" t="str">
        <f>itemno</f>
        <v>H - 100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5"/>
      <c r="U7" s="5"/>
      <c r="V7" s="5"/>
      <c r="Y7" s="6"/>
      <c r="Z7" s="6"/>
      <c r="AA7" s="6"/>
      <c r="AB7" s="6"/>
      <c r="AC7" s="6"/>
      <c r="AD7" s="6"/>
      <c r="AE7" s="6"/>
      <c r="AF7" s="6"/>
      <c r="AG7" s="6"/>
      <c r="AH7" s="4"/>
    </row>
    <row r="8" spans="1:34" ht="9.75" customHeight="1">
      <c r="A8" s="6"/>
      <c r="B8" s="6" t="s">
        <v>107</v>
      </c>
      <c r="C8" s="6"/>
      <c r="D8" s="6"/>
      <c r="E8" s="7" t="str">
        <f>service</f>
        <v>Air Cooled Heat Exchanger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Y8" s="6"/>
      <c r="Z8" s="6"/>
      <c r="AA8" s="6"/>
      <c r="AB8" s="6"/>
      <c r="AC8" s="6"/>
      <c r="AD8" s="6"/>
      <c r="AE8" s="6"/>
      <c r="AF8" s="6"/>
      <c r="AG8" s="6"/>
      <c r="AH8" s="3"/>
    </row>
    <row r="9" spans="1:33" ht="9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29" ht="9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3"/>
      <c r="W10" s="3"/>
      <c r="X10" s="3"/>
      <c r="Y10" s="3"/>
      <c r="Z10" s="3"/>
      <c r="AA10" s="3"/>
      <c r="AB10" s="3"/>
      <c r="AC10" s="3"/>
    </row>
    <row r="11" spans="1:29" ht="9.75" customHeight="1">
      <c r="A11" s="1"/>
      <c r="B11" s="1"/>
      <c r="C11" s="12" t="s">
        <v>153</v>
      </c>
      <c r="D11" s="9" t="s">
        <v>108</v>
      </c>
      <c r="E11" s="1"/>
      <c r="F11" s="1"/>
      <c r="G11" s="1"/>
      <c r="H11" s="1"/>
      <c r="I11" s="1"/>
      <c r="J11" s="1"/>
      <c r="K11" s="19" t="s">
        <v>119</v>
      </c>
      <c r="L11" s="25" t="s">
        <v>31</v>
      </c>
      <c r="M11" s="31" t="s">
        <v>154</v>
      </c>
      <c r="N11" s="25" t="s">
        <v>32</v>
      </c>
      <c r="O11" s="1"/>
      <c r="P11" s="1"/>
      <c r="Q11" s="1"/>
      <c r="R11" s="1"/>
      <c r="S11" s="1"/>
      <c r="T11" s="1"/>
      <c r="U11" s="1"/>
      <c r="AC11" s="3"/>
    </row>
    <row r="12" spans="1:29" ht="9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3"/>
      <c r="W12" s="3"/>
      <c r="X12" s="3"/>
      <c r="Y12" s="3"/>
      <c r="Z12" s="3"/>
      <c r="AA12" s="3"/>
      <c r="AB12" s="3"/>
      <c r="AC12" s="3"/>
    </row>
    <row r="13" spans="1:29" ht="9.75" customHeight="1">
      <c r="A13" s="6"/>
      <c r="B13" s="6"/>
      <c r="C13" s="6"/>
      <c r="D13" s="7" t="s">
        <v>109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3"/>
      <c r="W13" s="3"/>
      <c r="X13" s="3"/>
      <c r="Y13" s="3"/>
      <c r="Z13" s="3"/>
      <c r="AA13" s="3"/>
      <c r="AB13" s="3"/>
      <c r="AC13" s="3"/>
    </row>
    <row r="14" spans="1:29" ht="9.75" customHeight="1">
      <c r="A14" s="1"/>
      <c r="B14" s="1"/>
      <c r="C14" s="1"/>
      <c r="D14" s="1"/>
      <c r="E14" s="9" t="str">
        <f>plate_ID_tp</f>
        <v>Top / Bottom Plate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AC14" s="3"/>
    </row>
    <row r="15" spans="1:34" ht="9.75" customHeight="1">
      <c r="A15" s="1"/>
      <c r="B15" s="1"/>
      <c r="C15" s="1"/>
      <c r="D15" s="1"/>
      <c r="E15" s="1"/>
      <c r="F15" s="24" t="s">
        <v>120</v>
      </c>
      <c r="G15" s="1"/>
      <c r="H15" s="1" t="s">
        <v>111</v>
      </c>
      <c r="I15" s="1" t="s">
        <v>219</v>
      </c>
      <c r="J15" s="1"/>
      <c r="K15" s="1"/>
      <c r="L15" s="19" t="s">
        <v>111</v>
      </c>
      <c r="M15" s="239">
        <f>sc_dp</f>
        <v>10</v>
      </c>
      <c r="N15" s="239"/>
      <c r="O15" s="19" t="s">
        <v>112</v>
      </c>
      <c r="P15" s="239">
        <f>sc_lh</f>
        <v>406</v>
      </c>
      <c r="Q15" s="239"/>
      <c r="R15" s="83" t="s">
        <v>221</v>
      </c>
      <c r="S15" s="239">
        <f>sc_st1</f>
        <v>22</v>
      </c>
      <c r="T15" s="239"/>
      <c r="U15" s="8" t="s">
        <v>41</v>
      </c>
      <c r="V15" s="233">
        <f>sc_jen</f>
        <v>1</v>
      </c>
      <c r="W15" s="233"/>
      <c r="X15" s="8" t="s">
        <v>111</v>
      </c>
      <c r="Y15" s="412">
        <f>M15*P15/2/S15/V15</f>
        <v>92.27272727272727</v>
      </c>
      <c r="Z15" s="412"/>
      <c r="AA15" s="412"/>
      <c r="AB15" s="2" t="str">
        <f>upsx(sc_pu)</f>
        <v>kg/cm2</v>
      </c>
      <c r="AC15" s="23" t="str">
        <f>IF(Y15&lt;=AD15,"&lt;","&gt;")</f>
        <v>&lt;</v>
      </c>
      <c r="AD15" s="264">
        <f>sc_mas</f>
        <v>1040.1105372374868</v>
      </c>
      <c r="AE15" s="264"/>
      <c r="AF15" s="264"/>
      <c r="AG15" s="410" t="str">
        <f>IF(ABS(Y15)&lt;=ABS(AD15),"OK !","NO !")</f>
        <v>OK !</v>
      </c>
      <c r="AH15" s="410"/>
    </row>
    <row r="16" spans="1:29" ht="9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AC16" s="3"/>
    </row>
    <row r="17" spans="1:22" ht="9.75" customHeight="1">
      <c r="A17" s="1"/>
      <c r="B17" s="1"/>
      <c r="C17" s="1"/>
      <c r="D17" s="1"/>
      <c r="E17" s="28" t="str">
        <f>plate_ID_cp&amp;" / "&amp;plate_ID_ts</f>
        <v>Cover Plate / Tube Plate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9" ht="9.75" customHeight="1">
      <c r="A18" s="6"/>
      <c r="B18" s="6"/>
      <c r="C18" s="6"/>
      <c r="D18" s="6"/>
      <c r="E18" s="6"/>
      <c r="F18" s="7" t="s">
        <v>237</v>
      </c>
      <c r="G18" s="6"/>
      <c r="H18" s="6"/>
      <c r="I18" s="6"/>
      <c r="J18" s="7" t="s">
        <v>239</v>
      </c>
      <c r="K18" s="6" t="s">
        <v>46</v>
      </c>
      <c r="L18" s="6" t="s">
        <v>240</v>
      </c>
      <c r="M18" s="6"/>
      <c r="N18" s="6"/>
      <c r="O18" s="19" t="s">
        <v>46</v>
      </c>
      <c r="P18" s="239">
        <f>sc_lt22</f>
        <v>32</v>
      </c>
      <c r="Q18" s="239"/>
      <c r="R18" s="3" t="s">
        <v>241</v>
      </c>
      <c r="S18" s="19" t="s">
        <v>71</v>
      </c>
      <c r="T18" s="19">
        <v>12</v>
      </c>
      <c r="U18" s="19" t="s">
        <v>46</v>
      </c>
      <c r="V18" s="264">
        <f>P18^3/T18</f>
        <v>2730.6666666666665</v>
      </c>
      <c r="W18" s="264"/>
      <c r="X18" s="264"/>
      <c r="Y18" s="3" t="s">
        <v>66</v>
      </c>
      <c r="Z18" s="3"/>
      <c r="AA18" s="3"/>
      <c r="AB18" s="3"/>
      <c r="AC18" s="3"/>
    </row>
    <row r="19" spans="1:33" ht="9.75" customHeight="1">
      <c r="A19" s="1"/>
      <c r="B19" s="1"/>
      <c r="C19" s="1"/>
      <c r="D19" s="1"/>
      <c r="E19" s="1"/>
      <c r="F19" s="1"/>
      <c r="G19" s="35" t="s">
        <v>238</v>
      </c>
      <c r="H19" s="2" t="s">
        <v>46</v>
      </c>
      <c r="I19" s="2" t="s">
        <v>243</v>
      </c>
      <c r="K19" s="1"/>
      <c r="L19" s="19" t="s">
        <v>46</v>
      </c>
      <c r="M19" s="333">
        <f>V18/sc_li2</f>
        <v>1</v>
      </c>
      <c r="N19" s="333"/>
      <c r="O19" s="1"/>
      <c r="P19" s="9" t="s">
        <v>245</v>
      </c>
      <c r="Q19" s="1" t="s">
        <v>46</v>
      </c>
      <c r="R19" s="2" t="s">
        <v>247</v>
      </c>
      <c r="U19" s="8" t="s">
        <v>46</v>
      </c>
      <c r="V19" s="435">
        <f>2*M20+3</f>
        <v>7.638817437905496</v>
      </c>
      <c r="W19" s="435"/>
      <c r="X19" s="1"/>
      <c r="Y19" s="67" t="s">
        <v>233</v>
      </c>
      <c r="Z19" s="2" t="s">
        <v>46</v>
      </c>
      <c r="AA19" s="2" t="s">
        <v>249</v>
      </c>
      <c r="AE19" s="2" t="s">
        <v>46</v>
      </c>
      <c r="AF19" s="264">
        <f>V19*V20-M20^2</f>
        <v>52.971875044095064</v>
      </c>
      <c r="AG19" s="264"/>
    </row>
    <row r="20" spans="1:32" ht="9.75" customHeight="1">
      <c r="A20" s="6"/>
      <c r="B20" s="6"/>
      <c r="C20" s="6"/>
      <c r="D20" s="6"/>
      <c r="E20" s="6"/>
      <c r="F20" s="6"/>
      <c r="G20" s="7" t="s">
        <v>242</v>
      </c>
      <c r="H20" s="6" t="s">
        <v>46</v>
      </c>
      <c r="I20" s="6" t="s">
        <v>244</v>
      </c>
      <c r="J20" s="6"/>
      <c r="K20" s="6"/>
      <c r="L20" s="19" t="s">
        <v>46</v>
      </c>
      <c r="M20" s="333">
        <f>V18*sc_alpha/sc_si1</f>
        <v>2.319408718952748</v>
      </c>
      <c r="N20" s="333"/>
      <c r="O20" s="6"/>
      <c r="P20" s="7" t="s">
        <v>246</v>
      </c>
      <c r="Q20" s="6" t="s">
        <v>46</v>
      </c>
      <c r="R20" s="3" t="s">
        <v>248</v>
      </c>
      <c r="S20" s="3"/>
      <c r="T20" s="3"/>
      <c r="U20" s="8" t="s">
        <v>46</v>
      </c>
      <c r="V20" s="435">
        <f>3*M19+2*M20</f>
        <v>7.638817437905496</v>
      </c>
      <c r="W20" s="435"/>
      <c r="X20" s="6"/>
      <c r="Y20" s="6"/>
      <c r="Z20" s="6"/>
      <c r="AA20" s="6"/>
      <c r="AB20" s="3"/>
      <c r="AC20" s="3"/>
      <c r="AD20" s="416" t="s">
        <v>110</v>
      </c>
      <c r="AE20" s="416"/>
      <c r="AF20" s="416"/>
    </row>
    <row r="21" spans="1:31" ht="9.75" customHeight="1">
      <c r="A21" s="1"/>
      <c r="B21" s="1"/>
      <c r="C21" s="1"/>
      <c r="D21" s="1"/>
      <c r="E21" s="1"/>
      <c r="F21" s="417" t="s">
        <v>121</v>
      </c>
      <c r="G21" s="417"/>
      <c r="H21" s="409" t="s">
        <v>111</v>
      </c>
      <c r="I21" s="239" t="s">
        <v>122</v>
      </c>
      <c r="J21" s="239"/>
      <c r="K21" s="411" t="s">
        <v>124</v>
      </c>
      <c r="L21" s="411" t="s">
        <v>125</v>
      </c>
      <c r="M21" s="411"/>
      <c r="N21" s="411"/>
      <c r="O21" s="411"/>
      <c r="P21" s="411" t="s">
        <v>130</v>
      </c>
      <c r="Q21" s="411" t="s">
        <v>131</v>
      </c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 t="s">
        <v>126</v>
      </c>
      <c r="AD21" s="239">
        <v>1</v>
      </c>
      <c r="AE21" s="239"/>
    </row>
    <row r="22" spans="1:31" ht="9.75" customHeight="1">
      <c r="A22" s="6"/>
      <c r="B22" s="6"/>
      <c r="C22" s="6"/>
      <c r="D22" s="6"/>
      <c r="E22" s="6"/>
      <c r="F22" s="417"/>
      <c r="G22" s="417"/>
      <c r="H22" s="409"/>
      <c r="I22" s="256" t="s">
        <v>123</v>
      </c>
      <c r="J22" s="256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256" t="s">
        <v>222</v>
      </c>
      <c r="AE22" s="256"/>
    </row>
    <row r="23" spans="1:34" ht="9.75" customHeight="1">
      <c r="A23" s="1"/>
      <c r="B23" s="1"/>
      <c r="C23" s="1"/>
      <c r="D23" s="1"/>
      <c r="E23" s="1"/>
      <c r="F23" s="1"/>
      <c r="G23" s="1"/>
      <c r="H23" s="409" t="s">
        <v>111</v>
      </c>
      <c r="I23" s="1"/>
      <c r="J23" s="1"/>
      <c r="K23" s="1"/>
      <c r="L23" s="1"/>
      <c r="M23" s="419">
        <f>M15</f>
        <v>10</v>
      </c>
      <c r="N23" s="419"/>
      <c r="O23" s="1"/>
      <c r="P23" s="1"/>
      <c r="Q23" s="1"/>
      <c r="R23" s="411" t="s">
        <v>124</v>
      </c>
      <c r="S23" s="433">
        <f>4*J24*M24^2-2*P15^2*((V20+M20)-M19*(V19+M20)+sc_alpha^2*M20*(V20-V19))</f>
        <v>19840297.96651554</v>
      </c>
      <c r="T23" s="433"/>
      <c r="U23" s="433"/>
      <c r="V23" s="411" t="s">
        <v>225</v>
      </c>
      <c r="W23" s="239">
        <v>1</v>
      </c>
      <c r="X23" s="239"/>
      <c r="Y23" s="424" t="s">
        <v>103</v>
      </c>
      <c r="Z23" s="423">
        <f>M23/8/J24/M24/P24*S23/W24</f>
        <v>47.81249999999999</v>
      </c>
      <c r="AA23" s="423"/>
      <c r="AB23" s="430" t="str">
        <f>AB15</f>
        <v>kg/cm2</v>
      </c>
      <c r="AC23" s="430"/>
      <c r="AD23" s="432" t="str">
        <f>IF(Z23&lt;=AE23,"&lt;","&gt;")</f>
        <v>&lt;</v>
      </c>
      <c r="AE23" s="431">
        <f>AD15</f>
        <v>1040.1105372374868</v>
      </c>
      <c r="AF23" s="431"/>
      <c r="AG23" s="429" t="str">
        <f>IF(ABS(Z23)&lt;=ABS(AE23),"OK !","NO !")</f>
        <v>OK !</v>
      </c>
      <c r="AH23" s="429"/>
    </row>
    <row r="24" spans="1:34" ht="9.75" customHeight="1">
      <c r="A24" s="6"/>
      <c r="B24" s="6"/>
      <c r="C24" s="6"/>
      <c r="D24" s="6"/>
      <c r="E24" s="6"/>
      <c r="F24" s="6"/>
      <c r="G24" s="6"/>
      <c r="H24" s="409"/>
      <c r="I24" s="20" t="s">
        <v>127</v>
      </c>
      <c r="J24" s="352">
        <f>AF19</f>
        <v>52.971875044095064</v>
      </c>
      <c r="K24" s="256"/>
      <c r="L24" s="20" t="s">
        <v>128</v>
      </c>
      <c r="M24" s="256">
        <f>sc_sh</f>
        <v>306</v>
      </c>
      <c r="N24" s="256"/>
      <c r="O24" s="20" t="s">
        <v>128</v>
      </c>
      <c r="P24" s="256">
        <f>sc_lt2</f>
        <v>32</v>
      </c>
      <c r="Q24" s="256"/>
      <c r="R24" s="411"/>
      <c r="S24" s="433"/>
      <c r="T24" s="433"/>
      <c r="U24" s="433"/>
      <c r="V24" s="411"/>
      <c r="W24" s="363">
        <f>sc_jem1</f>
        <v>1</v>
      </c>
      <c r="X24" s="363"/>
      <c r="Y24" s="424"/>
      <c r="Z24" s="423"/>
      <c r="AA24" s="423"/>
      <c r="AB24" s="430"/>
      <c r="AC24" s="430"/>
      <c r="AD24" s="432"/>
      <c r="AE24" s="431"/>
      <c r="AF24" s="431"/>
      <c r="AG24" s="429"/>
      <c r="AH24" s="429"/>
    </row>
    <row r="25" spans="1:31" ht="9.75" customHeight="1">
      <c r="A25" s="1"/>
      <c r="B25" s="1"/>
      <c r="C25" s="1"/>
      <c r="D25" s="1"/>
      <c r="E25" s="1"/>
      <c r="F25" s="417" t="s">
        <v>132</v>
      </c>
      <c r="G25" s="417"/>
      <c r="H25" s="409" t="s">
        <v>111</v>
      </c>
      <c r="I25" s="239" t="s">
        <v>122</v>
      </c>
      <c r="J25" s="239"/>
      <c r="K25" s="411" t="s">
        <v>124</v>
      </c>
      <c r="L25" s="411" t="s">
        <v>125</v>
      </c>
      <c r="M25" s="411"/>
      <c r="N25" s="411"/>
      <c r="O25" s="411"/>
      <c r="P25" s="411" t="s">
        <v>130</v>
      </c>
      <c r="Q25" s="414" t="s">
        <v>134</v>
      </c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4"/>
      <c r="AC25" s="411" t="s">
        <v>126</v>
      </c>
      <c r="AD25" s="239">
        <v>1</v>
      </c>
      <c r="AE25" s="239"/>
    </row>
    <row r="26" spans="1:31" ht="9.75" customHeight="1">
      <c r="A26" s="6"/>
      <c r="B26" s="6"/>
      <c r="C26" s="6"/>
      <c r="D26" s="6"/>
      <c r="E26" s="6"/>
      <c r="F26" s="417"/>
      <c r="G26" s="417"/>
      <c r="H26" s="409"/>
      <c r="I26" s="434" t="s">
        <v>133</v>
      </c>
      <c r="J26" s="434"/>
      <c r="K26" s="411"/>
      <c r="L26" s="411"/>
      <c r="M26" s="411"/>
      <c r="N26" s="411"/>
      <c r="O26" s="411"/>
      <c r="P26" s="411"/>
      <c r="Q26" s="414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1"/>
      <c r="AD26" s="256" t="s">
        <v>223</v>
      </c>
      <c r="AE26" s="256"/>
    </row>
    <row r="27" spans="1:34" ht="9.75" customHeight="1">
      <c r="A27" s="1"/>
      <c r="B27" s="1"/>
      <c r="C27" s="1"/>
      <c r="D27" s="1"/>
      <c r="E27" s="1"/>
      <c r="F27" s="1"/>
      <c r="G27" s="1"/>
      <c r="H27" s="409" t="s">
        <v>111</v>
      </c>
      <c r="I27" s="1"/>
      <c r="J27" s="1"/>
      <c r="K27" s="1"/>
      <c r="L27" s="1"/>
      <c r="M27" s="419">
        <f>M23</f>
        <v>10</v>
      </c>
      <c r="N27" s="419"/>
      <c r="O27" s="1"/>
      <c r="P27" s="1"/>
      <c r="Q27" s="1"/>
      <c r="R27" s="411" t="s">
        <v>124</v>
      </c>
      <c r="S27" s="433">
        <f>4*J24*M24^2-2*P15^2*(-(V20+M20)+M19*(V19+M20)-sc_alpha^2*M20*(V20-V19))</f>
        <v>19840297.96651554</v>
      </c>
      <c r="T27" s="433"/>
      <c r="U27" s="433"/>
      <c r="V27" s="411" t="s">
        <v>225</v>
      </c>
      <c r="W27" s="239">
        <v>1</v>
      </c>
      <c r="X27" s="239"/>
      <c r="Y27" s="424" t="s">
        <v>103</v>
      </c>
      <c r="Z27" s="423">
        <f>M27/8/J28/M28/P28*S27/W28</f>
        <v>83.77403846153844</v>
      </c>
      <c r="AA27" s="423"/>
      <c r="AB27" s="430" t="str">
        <f>AB23</f>
        <v>kg/cm2</v>
      </c>
      <c r="AC27" s="430"/>
      <c r="AD27" s="432" t="str">
        <f>IF(Z27&lt;=AE27,"&lt;","&gt;")</f>
        <v>&lt;</v>
      </c>
      <c r="AE27" s="431">
        <f>AE23</f>
        <v>1040.1105372374868</v>
      </c>
      <c r="AF27" s="431"/>
      <c r="AG27" s="429" t="str">
        <f>IF(ABS(Z27)&lt;=ABS(AE27),"OK !","NO !")</f>
        <v>OK !</v>
      </c>
      <c r="AH27" s="429"/>
    </row>
    <row r="28" spans="1:34" ht="9.75" customHeight="1">
      <c r="A28" s="6"/>
      <c r="B28" s="6"/>
      <c r="C28" s="6"/>
      <c r="D28" s="6"/>
      <c r="E28" s="6"/>
      <c r="F28" s="6"/>
      <c r="G28" s="6"/>
      <c r="H28" s="409"/>
      <c r="I28" s="20" t="s">
        <v>127</v>
      </c>
      <c r="J28" s="352">
        <f>J24</f>
        <v>52.971875044095064</v>
      </c>
      <c r="K28" s="256"/>
      <c r="L28" s="20" t="s">
        <v>128</v>
      </c>
      <c r="M28" s="256">
        <f>M24</f>
        <v>306</v>
      </c>
      <c r="N28" s="256"/>
      <c r="O28" s="20" t="s">
        <v>128</v>
      </c>
      <c r="P28" s="256">
        <f>sc_lt22</f>
        <v>32</v>
      </c>
      <c r="Q28" s="256"/>
      <c r="R28" s="411"/>
      <c r="S28" s="433"/>
      <c r="T28" s="433"/>
      <c r="U28" s="433"/>
      <c r="V28" s="411"/>
      <c r="W28" s="363">
        <f>sc_jem</f>
        <v>0.5707317073170732</v>
      </c>
      <c r="X28" s="363"/>
      <c r="Y28" s="424"/>
      <c r="Z28" s="423"/>
      <c r="AA28" s="423"/>
      <c r="AB28" s="430"/>
      <c r="AC28" s="430"/>
      <c r="AD28" s="432"/>
      <c r="AE28" s="431"/>
      <c r="AF28" s="431"/>
      <c r="AG28" s="429"/>
      <c r="AH28" s="429"/>
    </row>
    <row r="29" spans="1:28" ht="9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3"/>
      <c r="W29" s="3"/>
      <c r="X29" s="3"/>
      <c r="Y29" s="3"/>
      <c r="Z29" s="3"/>
      <c r="AA29" s="3"/>
      <c r="AB29" s="3"/>
    </row>
    <row r="30" spans="1:29" ht="9.75" customHeight="1">
      <c r="A30" s="6"/>
      <c r="B30" s="6"/>
      <c r="C30" s="6"/>
      <c r="D30" s="7" t="s">
        <v>113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3"/>
      <c r="W30" s="3"/>
      <c r="X30" s="3"/>
      <c r="Y30" s="3"/>
      <c r="Z30" s="3"/>
      <c r="AA30" s="3"/>
      <c r="AB30" s="3"/>
      <c r="AC30" s="3"/>
    </row>
    <row r="31" spans="1:29" ht="9.75" customHeight="1">
      <c r="A31" s="1"/>
      <c r="B31" s="1"/>
      <c r="C31" s="1"/>
      <c r="D31" s="1"/>
      <c r="E31" s="9" t="str">
        <f>E14</f>
        <v>Top / Bottom Plate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AC31" s="3"/>
    </row>
    <row r="32" spans="1:29" ht="9.75" customHeight="1">
      <c r="A32" s="6"/>
      <c r="B32" s="6"/>
      <c r="C32" s="6"/>
      <c r="D32" s="6"/>
      <c r="E32" s="6"/>
      <c r="F32" s="417" t="s">
        <v>203</v>
      </c>
      <c r="G32" s="417"/>
      <c r="H32" s="409" t="s">
        <v>111</v>
      </c>
      <c r="I32" s="239" t="s">
        <v>135</v>
      </c>
      <c r="J32" s="239"/>
      <c r="K32" s="3"/>
      <c r="L32" s="428" t="s">
        <v>114</v>
      </c>
      <c r="M32" s="411" t="s">
        <v>137</v>
      </c>
      <c r="N32" s="411"/>
      <c r="O32" s="411"/>
      <c r="P32" s="411"/>
      <c r="Q32" s="411"/>
      <c r="R32" s="411"/>
      <c r="S32" s="411"/>
      <c r="T32" s="411"/>
      <c r="U32" s="411"/>
      <c r="V32" s="409" t="s">
        <v>138</v>
      </c>
      <c r="W32" s="3"/>
      <c r="X32" s="3"/>
      <c r="Y32" s="3"/>
      <c r="Z32" s="3"/>
      <c r="AA32" s="3"/>
      <c r="AB32" s="3"/>
      <c r="AC32" s="3"/>
    </row>
    <row r="33" spans="1:29" ht="9.75" customHeight="1">
      <c r="A33" s="1"/>
      <c r="B33" s="1"/>
      <c r="C33" s="1"/>
      <c r="D33" s="1"/>
      <c r="E33" s="1"/>
      <c r="F33" s="417"/>
      <c r="G33" s="417"/>
      <c r="H33" s="409"/>
      <c r="I33" s="256" t="s">
        <v>136</v>
      </c>
      <c r="J33" s="256"/>
      <c r="L33" s="428"/>
      <c r="M33" s="411"/>
      <c r="N33" s="411"/>
      <c r="O33" s="411"/>
      <c r="P33" s="411"/>
      <c r="Q33" s="411"/>
      <c r="R33" s="411"/>
      <c r="S33" s="411"/>
      <c r="T33" s="411"/>
      <c r="U33" s="411"/>
      <c r="V33" s="409"/>
      <c r="AC33" s="3"/>
    </row>
    <row r="34" spans="1:34" ht="9.75" customHeight="1">
      <c r="A34" s="1"/>
      <c r="B34" s="1"/>
      <c r="C34" s="1"/>
      <c r="D34" s="1"/>
      <c r="E34" s="1"/>
      <c r="F34" s="1"/>
      <c r="G34" s="1"/>
      <c r="H34" s="1"/>
      <c r="I34" s="239">
        <f>M15</f>
        <v>10</v>
      </c>
      <c r="J34" s="239"/>
      <c r="K34" s="19" t="s">
        <v>128</v>
      </c>
      <c r="L34" s="239">
        <f>sc_sco1</f>
        <v>-11</v>
      </c>
      <c r="M34" s="239"/>
      <c r="N34" s="19" t="s">
        <v>128</v>
      </c>
      <c r="O34" s="239">
        <f>P15</f>
        <v>406</v>
      </c>
      <c r="P34" s="239"/>
      <c r="Q34" s="1" t="s">
        <v>129</v>
      </c>
      <c r="R34" s="411" t="s">
        <v>114</v>
      </c>
      <c r="S34" s="426">
        <f>(V20-M19*M20)+sc_alpha^2*M20*(V20-M20)</f>
        <v>12.32801126371503</v>
      </c>
      <c r="T34" s="426"/>
      <c r="U34" s="426"/>
      <c r="V34" s="411" t="s">
        <v>138</v>
      </c>
      <c r="Z34" s="35" t="s">
        <v>186</v>
      </c>
      <c r="AC34" s="48" t="s">
        <v>46</v>
      </c>
      <c r="AD34" s="413">
        <f>I34*L34*O34^2/I35/L35/O35*S34</f>
        <v>-1188.9008598771052</v>
      </c>
      <c r="AE34" s="413"/>
      <c r="AF34" s="413"/>
      <c r="AG34" s="47" t="str">
        <f>AB15</f>
        <v>kg/cm2</v>
      </c>
      <c r="AH34" s="47"/>
    </row>
    <row r="35" spans="1:34" ht="9.75" customHeight="1">
      <c r="A35" s="6"/>
      <c r="B35" s="6"/>
      <c r="C35" s="6"/>
      <c r="D35" s="6"/>
      <c r="E35" s="6"/>
      <c r="F35" s="6"/>
      <c r="G35" s="6"/>
      <c r="H35" s="6"/>
      <c r="I35" s="256">
        <v>4</v>
      </c>
      <c r="J35" s="256"/>
      <c r="K35" s="20" t="s">
        <v>128</v>
      </c>
      <c r="L35" s="352">
        <f>AF19</f>
        <v>52.971875044095064</v>
      </c>
      <c r="M35" s="256"/>
      <c r="N35" s="20" t="s">
        <v>128</v>
      </c>
      <c r="O35" s="352">
        <f>sc_si1</f>
        <v>887.3333333333334</v>
      </c>
      <c r="P35" s="352"/>
      <c r="Q35" s="21"/>
      <c r="R35" s="411"/>
      <c r="S35" s="426"/>
      <c r="T35" s="426"/>
      <c r="U35" s="426"/>
      <c r="V35" s="411"/>
      <c r="W35" s="3"/>
      <c r="X35" s="3"/>
      <c r="Y35" s="3"/>
      <c r="Z35" s="35" t="s">
        <v>187</v>
      </c>
      <c r="AA35" s="3"/>
      <c r="AC35" s="48" t="s">
        <v>46</v>
      </c>
      <c r="AD35" s="413">
        <f>I34*(-L34)*O34^2/I35/L35/O35*S34</f>
        <v>1188.9008598771052</v>
      </c>
      <c r="AE35" s="413"/>
      <c r="AF35" s="413"/>
      <c r="AG35" s="47" t="str">
        <f>AG34</f>
        <v>kg/cm2</v>
      </c>
      <c r="AH35" s="47"/>
    </row>
    <row r="36" spans="1:34" ht="9.75" customHeight="1">
      <c r="A36" s="6"/>
      <c r="B36" s="6"/>
      <c r="C36" s="6"/>
      <c r="D36" s="6"/>
      <c r="E36" s="6"/>
      <c r="F36" s="417" t="s">
        <v>204</v>
      </c>
      <c r="G36" s="417"/>
      <c r="H36" s="409" t="s">
        <v>111</v>
      </c>
      <c r="I36" s="239" t="s">
        <v>135</v>
      </c>
      <c r="J36" s="239"/>
      <c r="K36" s="3"/>
      <c r="L36" s="409" t="s">
        <v>114</v>
      </c>
      <c r="M36" s="411" t="s">
        <v>140</v>
      </c>
      <c r="N36" s="411"/>
      <c r="O36" s="411"/>
      <c r="P36" s="411"/>
      <c r="Q36" s="411"/>
      <c r="R36" s="411"/>
      <c r="S36" s="411"/>
      <c r="T36" s="411"/>
      <c r="U36" s="411"/>
      <c r="V36" s="409" t="s">
        <v>138</v>
      </c>
      <c r="W36" s="3"/>
      <c r="X36" s="3"/>
      <c r="Y36" s="3"/>
      <c r="Z36" s="3"/>
      <c r="AA36" s="3"/>
      <c r="AC36" s="424" t="s">
        <v>111</v>
      </c>
      <c r="AD36" s="425"/>
      <c r="AE36" s="425"/>
      <c r="AF36" s="425"/>
      <c r="AG36" s="47"/>
      <c r="AH36" s="47"/>
    </row>
    <row r="37" spans="1:34" ht="9.75" customHeight="1">
      <c r="A37" s="1"/>
      <c r="B37" s="1"/>
      <c r="C37" s="1"/>
      <c r="D37" s="1"/>
      <c r="E37" s="1"/>
      <c r="F37" s="417"/>
      <c r="G37" s="417"/>
      <c r="H37" s="409"/>
      <c r="I37" s="256" t="s">
        <v>136</v>
      </c>
      <c r="J37" s="256"/>
      <c r="L37" s="409"/>
      <c r="M37" s="411"/>
      <c r="N37" s="411"/>
      <c r="O37" s="411"/>
      <c r="P37" s="411"/>
      <c r="Q37" s="411"/>
      <c r="R37" s="411"/>
      <c r="S37" s="411"/>
      <c r="T37" s="411"/>
      <c r="U37" s="411"/>
      <c r="V37" s="409"/>
      <c r="AC37" s="424"/>
      <c r="AD37" s="425"/>
      <c r="AE37" s="425"/>
      <c r="AF37" s="425"/>
      <c r="AG37" s="47"/>
      <c r="AH37" s="47"/>
    </row>
    <row r="38" spans="1:34" ht="9.75" customHeight="1">
      <c r="A38" s="1"/>
      <c r="B38" s="1"/>
      <c r="C38" s="1"/>
      <c r="D38" s="1"/>
      <c r="E38" s="1"/>
      <c r="F38" s="1"/>
      <c r="G38" s="1"/>
      <c r="H38" s="409" t="s">
        <v>111</v>
      </c>
      <c r="I38" s="239">
        <f>I34</f>
        <v>10</v>
      </c>
      <c r="J38" s="239"/>
      <c r="K38" s="19" t="s">
        <v>128</v>
      </c>
      <c r="L38" s="239">
        <f>L34</f>
        <v>-11</v>
      </c>
      <c r="M38" s="239"/>
      <c r="N38" s="19" t="s">
        <v>128</v>
      </c>
      <c r="O38" s="239">
        <f>O34</f>
        <v>406</v>
      </c>
      <c r="P38" s="239"/>
      <c r="Q38" s="1" t="s">
        <v>129</v>
      </c>
      <c r="R38" s="411" t="s">
        <v>124</v>
      </c>
      <c r="S38" s="426">
        <f>(V19*M19-M20)+sc_alpha^2*M20*(V19-M20)</f>
        <v>12.32801126371503</v>
      </c>
      <c r="T38" s="426"/>
      <c r="U38" s="426"/>
      <c r="V38" s="411" t="s">
        <v>139</v>
      </c>
      <c r="Z38" s="35" t="s">
        <v>186</v>
      </c>
      <c r="AC38" s="48" t="s">
        <v>46</v>
      </c>
      <c r="AD38" s="413">
        <f>I38*L38*O38^2/I39/L39/O39*S38</f>
        <v>-1188.9008598771052</v>
      </c>
      <c r="AE38" s="413"/>
      <c r="AF38" s="413"/>
      <c r="AG38" s="47" t="str">
        <f>AG34</f>
        <v>kg/cm2</v>
      </c>
      <c r="AH38" s="47"/>
    </row>
    <row r="39" spans="1:34" ht="9.75" customHeight="1">
      <c r="A39" s="6"/>
      <c r="B39" s="6"/>
      <c r="C39" s="6"/>
      <c r="D39" s="6"/>
      <c r="E39" s="6"/>
      <c r="F39" s="6"/>
      <c r="G39" s="6"/>
      <c r="H39" s="409"/>
      <c r="I39" s="256">
        <v>4</v>
      </c>
      <c r="J39" s="256"/>
      <c r="K39" s="20" t="s">
        <v>128</v>
      </c>
      <c r="L39" s="352">
        <f>L35</f>
        <v>52.971875044095064</v>
      </c>
      <c r="M39" s="256"/>
      <c r="N39" s="20" t="s">
        <v>128</v>
      </c>
      <c r="O39" s="352">
        <f>O35</f>
        <v>887.3333333333334</v>
      </c>
      <c r="P39" s="352"/>
      <c r="Q39" s="21"/>
      <c r="R39" s="411"/>
      <c r="S39" s="426"/>
      <c r="T39" s="426"/>
      <c r="U39" s="426"/>
      <c r="V39" s="411"/>
      <c r="W39" s="3"/>
      <c r="X39" s="3"/>
      <c r="Y39" s="3"/>
      <c r="Z39" s="35" t="s">
        <v>187</v>
      </c>
      <c r="AA39" s="3"/>
      <c r="AC39" s="48" t="s">
        <v>46</v>
      </c>
      <c r="AD39" s="413">
        <f>I38*(-L38)*O38^2/I39/L39/O39*S38</f>
        <v>1188.9008598771052</v>
      </c>
      <c r="AE39" s="413"/>
      <c r="AF39" s="413"/>
      <c r="AG39" s="47" t="str">
        <f>AG38</f>
        <v>kg/cm2</v>
      </c>
      <c r="AH39" s="47"/>
    </row>
    <row r="40" spans="1:34" ht="9.75" customHeight="1">
      <c r="A40" s="1"/>
      <c r="B40" s="1"/>
      <c r="C40" s="1"/>
      <c r="D40" s="1"/>
      <c r="E40" s="9" t="str">
        <f>E17</f>
        <v>Cover Plate / Tube Plate</v>
      </c>
      <c r="F40" s="1"/>
      <c r="G40" s="1"/>
      <c r="H40" s="1"/>
      <c r="I40" s="1"/>
      <c r="J40" s="1"/>
      <c r="K40" s="1" t="s">
        <v>250</v>
      </c>
      <c r="L40" s="1"/>
      <c r="M40" s="1"/>
      <c r="N40" s="9" t="s">
        <v>251</v>
      </c>
      <c r="O40" s="1"/>
      <c r="P40" s="1" t="s">
        <v>46</v>
      </c>
      <c r="Q40" s="46" t="s">
        <v>252</v>
      </c>
      <c r="R40" s="1"/>
      <c r="S40" s="19" t="s">
        <v>46</v>
      </c>
      <c r="T40" s="239">
        <f>-sc_lt22</f>
        <v>-32</v>
      </c>
      <c r="U40" s="239"/>
      <c r="V40" s="8" t="s">
        <v>253</v>
      </c>
      <c r="W40" s="8" t="s">
        <v>46</v>
      </c>
      <c r="X40" s="233">
        <f>T40/2</f>
        <v>-16</v>
      </c>
      <c r="Y40" s="233"/>
      <c r="AA40" s="35" t="s">
        <v>254</v>
      </c>
      <c r="AC40" s="3" t="s">
        <v>46</v>
      </c>
      <c r="AD40" s="89" t="s">
        <v>255</v>
      </c>
      <c r="AF40" s="8" t="s">
        <v>46</v>
      </c>
      <c r="AG40" s="233">
        <f>-X40</f>
        <v>16</v>
      </c>
      <c r="AH40" s="233"/>
    </row>
    <row r="41" spans="1:29" ht="9.75" customHeight="1">
      <c r="A41" s="6"/>
      <c r="B41" s="6"/>
      <c r="C41" s="6"/>
      <c r="D41" s="6"/>
      <c r="E41" s="6"/>
      <c r="F41" s="417" t="s">
        <v>201</v>
      </c>
      <c r="G41" s="417"/>
      <c r="H41" s="409" t="s">
        <v>111</v>
      </c>
      <c r="I41" s="239" t="s">
        <v>135</v>
      </c>
      <c r="J41" s="239"/>
      <c r="K41" s="411" t="s">
        <v>124</v>
      </c>
      <c r="L41" s="411" t="s">
        <v>141</v>
      </c>
      <c r="M41" s="424" t="s">
        <v>137</v>
      </c>
      <c r="N41" s="424"/>
      <c r="O41" s="424"/>
      <c r="P41" s="424"/>
      <c r="Q41" s="424"/>
      <c r="R41" s="424"/>
      <c r="S41" s="424"/>
      <c r="T41" s="424"/>
      <c r="U41" s="424"/>
      <c r="V41" s="411" t="s">
        <v>143</v>
      </c>
      <c r="W41" s="411" t="s">
        <v>142</v>
      </c>
      <c r="X41" s="411" t="s">
        <v>139</v>
      </c>
      <c r="Y41" s="239">
        <v>1</v>
      </c>
      <c r="Z41" s="239"/>
      <c r="AA41" s="3"/>
      <c r="AB41" s="3"/>
      <c r="AC41" s="3"/>
    </row>
    <row r="42" spans="1:29" ht="9.75" customHeight="1">
      <c r="A42" s="6"/>
      <c r="B42" s="6"/>
      <c r="C42" s="6"/>
      <c r="D42" s="6"/>
      <c r="E42" s="6"/>
      <c r="F42" s="417"/>
      <c r="G42" s="417"/>
      <c r="H42" s="409"/>
      <c r="I42" s="256" t="s">
        <v>146</v>
      </c>
      <c r="J42" s="256"/>
      <c r="K42" s="411"/>
      <c r="L42" s="411"/>
      <c r="M42" s="424"/>
      <c r="N42" s="424"/>
      <c r="O42" s="424"/>
      <c r="P42" s="424"/>
      <c r="Q42" s="424"/>
      <c r="R42" s="424"/>
      <c r="S42" s="424"/>
      <c r="T42" s="424"/>
      <c r="U42" s="424"/>
      <c r="V42" s="411"/>
      <c r="W42" s="411"/>
      <c r="X42" s="411"/>
      <c r="Y42" s="256" t="s">
        <v>223</v>
      </c>
      <c r="Z42" s="256"/>
      <c r="AA42" s="3"/>
      <c r="AB42" s="3"/>
      <c r="AC42" s="3"/>
    </row>
    <row r="43" spans="1:34" ht="9.75" customHeight="1">
      <c r="A43" s="1"/>
      <c r="B43" s="1"/>
      <c r="C43" s="1"/>
      <c r="D43" s="1"/>
      <c r="E43" s="1"/>
      <c r="F43" s="1"/>
      <c r="G43" s="1"/>
      <c r="H43" s="409" t="s">
        <v>111</v>
      </c>
      <c r="I43" s="239">
        <f>M23</f>
        <v>10</v>
      </c>
      <c r="J43" s="239"/>
      <c r="K43" s="19" t="s">
        <v>128</v>
      </c>
      <c r="L43" s="239">
        <f>X40</f>
        <v>-16</v>
      </c>
      <c r="M43" s="239"/>
      <c r="N43" s="19" t="s">
        <v>128</v>
      </c>
      <c r="O43" s="239">
        <f>P15</f>
        <v>406</v>
      </c>
      <c r="P43" s="239"/>
      <c r="Q43" s="1" t="s">
        <v>129</v>
      </c>
      <c r="R43" s="411" t="s">
        <v>124</v>
      </c>
      <c r="S43" s="426">
        <f>2*((V20-M19*M20)+sc_alpha^2*M20*(V20-M20))-L44</f>
        <v>-28.315852516665004</v>
      </c>
      <c r="T43" s="426"/>
      <c r="U43" s="426"/>
      <c r="V43" s="411" t="s">
        <v>139</v>
      </c>
      <c r="Y43" s="239">
        <v>1</v>
      </c>
      <c r="Z43" s="239"/>
      <c r="AA43" s="35" t="s">
        <v>186</v>
      </c>
      <c r="AD43" s="48" t="s">
        <v>46</v>
      </c>
      <c r="AE43" s="422">
        <f>I43*L43*O43^2/I44/L44/O44*S43/Y44</f>
        <v>1130.7475851612046</v>
      </c>
      <c r="AF43" s="422"/>
      <c r="AG43" s="422"/>
      <c r="AH43" s="47" t="str">
        <f>AB23</f>
        <v>kg/cm2</v>
      </c>
    </row>
    <row r="44" spans="1:34" ht="9.75" customHeight="1">
      <c r="A44" s="1"/>
      <c r="B44" s="1"/>
      <c r="C44" s="1"/>
      <c r="D44" s="1"/>
      <c r="E44" s="1"/>
      <c r="F44" s="1"/>
      <c r="G44" s="1"/>
      <c r="H44" s="409"/>
      <c r="I44" s="256">
        <v>8</v>
      </c>
      <c r="J44" s="256"/>
      <c r="K44" s="20" t="s">
        <v>128</v>
      </c>
      <c r="L44" s="352">
        <f>AF19</f>
        <v>52.971875044095064</v>
      </c>
      <c r="M44" s="256"/>
      <c r="N44" s="20" t="s">
        <v>128</v>
      </c>
      <c r="O44" s="352">
        <f>V18</f>
        <v>2730.6666666666665</v>
      </c>
      <c r="P44" s="352"/>
      <c r="Q44" s="21"/>
      <c r="R44" s="411"/>
      <c r="S44" s="426"/>
      <c r="T44" s="426"/>
      <c r="U44" s="426"/>
      <c r="V44" s="411"/>
      <c r="W44" s="3"/>
      <c r="X44" s="3"/>
      <c r="Y44" s="363">
        <f>W28</f>
        <v>0.5707317073170732</v>
      </c>
      <c r="Z44" s="363"/>
      <c r="AA44" s="35" t="s">
        <v>187</v>
      </c>
      <c r="AB44" s="3"/>
      <c r="AD44" s="48" t="s">
        <v>46</v>
      </c>
      <c r="AE44" s="422">
        <f>I43*(-L43)*O43^2/I44/L44/O44*S43/Y44</f>
        <v>-1130.7475851612046</v>
      </c>
      <c r="AF44" s="422"/>
      <c r="AG44" s="422"/>
      <c r="AH44" s="47" t="str">
        <f>AH43</f>
        <v>kg/cm2</v>
      </c>
    </row>
    <row r="45" spans="1:30" ht="9.75" customHeight="1">
      <c r="A45" s="6"/>
      <c r="B45" s="6"/>
      <c r="C45" s="6"/>
      <c r="D45" s="6"/>
      <c r="E45" s="6"/>
      <c r="F45" s="417" t="s">
        <v>205</v>
      </c>
      <c r="G45" s="417"/>
      <c r="H45" s="409" t="s">
        <v>111</v>
      </c>
      <c r="I45" s="239" t="s">
        <v>135</v>
      </c>
      <c r="J45" s="239"/>
      <c r="K45" s="411" t="s">
        <v>124</v>
      </c>
      <c r="L45" s="411" t="s">
        <v>141</v>
      </c>
      <c r="M45" s="424" t="s">
        <v>140</v>
      </c>
      <c r="N45" s="424"/>
      <c r="O45" s="424"/>
      <c r="P45" s="424"/>
      <c r="Q45" s="424"/>
      <c r="R45" s="424"/>
      <c r="S45" s="424"/>
      <c r="T45" s="424"/>
      <c r="U45" s="424"/>
      <c r="V45" s="411" t="s">
        <v>143</v>
      </c>
      <c r="W45" s="411" t="s">
        <v>142</v>
      </c>
      <c r="X45" s="411" t="s">
        <v>139</v>
      </c>
      <c r="Y45" s="239">
        <v>1</v>
      </c>
      <c r="Z45" s="239"/>
      <c r="AA45" s="3"/>
      <c r="AC45" s="3"/>
      <c r="AD45" s="3"/>
    </row>
    <row r="46" spans="1:30" ht="9.75" customHeight="1">
      <c r="A46" s="6"/>
      <c r="B46" s="6"/>
      <c r="C46" s="6"/>
      <c r="D46" s="6"/>
      <c r="E46" s="6"/>
      <c r="F46" s="417"/>
      <c r="G46" s="417"/>
      <c r="H46" s="409"/>
      <c r="I46" s="256" t="s">
        <v>147</v>
      </c>
      <c r="J46" s="256"/>
      <c r="K46" s="411"/>
      <c r="L46" s="411"/>
      <c r="M46" s="424"/>
      <c r="N46" s="424"/>
      <c r="O46" s="424"/>
      <c r="P46" s="424"/>
      <c r="Q46" s="424"/>
      <c r="R46" s="424"/>
      <c r="S46" s="424"/>
      <c r="T46" s="424"/>
      <c r="U46" s="424"/>
      <c r="V46" s="411"/>
      <c r="W46" s="411"/>
      <c r="X46" s="411"/>
      <c r="Y46" s="256" t="s">
        <v>222</v>
      </c>
      <c r="Z46" s="256"/>
      <c r="AA46" s="3"/>
      <c r="AC46" s="3"/>
      <c r="AD46" s="3"/>
    </row>
    <row r="47" spans="1:34" ht="9.75" customHeight="1">
      <c r="A47" s="1"/>
      <c r="B47" s="1"/>
      <c r="C47" s="1"/>
      <c r="D47" s="1"/>
      <c r="E47" s="1"/>
      <c r="F47" s="1"/>
      <c r="G47" s="1"/>
      <c r="H47" s="409" t="s">
        <v>111</v>
      </c>
      <c r="I47" s="239">
        <f>I43</f>
        <v>10</v>
      </c>
      <c r="J47" s="239"/>
      <c r="K47" s="19" t="s">
        <v>128</v>
      </c>
      <c r="L47" s="239">
        <f>sc_lco2</f>
        <v>-16</v>
      </c>
      <c r="M47" s="239"/>
      <c r="N47" s="19" t="s">
        <v>128</v>
      </c>
      <c r="O47" s="239">
        <f>O43</f>
        <v>406</v>
      </c>
      <c r="P47" s="239"/>
      <c r="Q47" s="1" t="s">
        <v>129</v>
      </c>
      <c r="R47" s="411" t="s">
        <v>124</v>
      </c>
      <c r="S47" s="426">
        <f>2*((V19*M19-M20)+sc_alpha^2*M20*(V19-M20))-L48</f>
        <v>-28.315852516665004</v>
      </c>
      <c r="T47" s="426"/>
      <c r="U47" s="426"/>
      <c r="V47" s="411" t="s">
        <v>139</v>
      </c>
      <c r="Y47" s="239">
        <v>1</v>
      </c>
      <c r="Z47" s="239"/>
      <c r="AA47" s="35" t="s">
        <v>186</v>
      </c>
      <c r="AD47" s="48" t="s">
        <v>46</v>
      </c>
      <c r="AE47" s="413">
        <f>I47*L47*O47^2/I48/L48/O48*S47/Y48</f>
        <v>645.353499823712</v>
      </c>
      <c r="AF47" s="413"/>
      <c r="AG47" s="413"/>
      <c r="AH47" s="47" t="str">
        <f>AH43</f>
        <v>kg/cm2</v>
      </c>
    </row>
    <row r="48" spans="1:34" ht="9.75" customHeight="1">
      <c r="A48" s="1"/>
      <c r="B48" s="1"/>
      <c r="C48" s="1"/>
      <c r="D48" s="1"/>
      <c r="E48" s="1"/>
      <c r="F48" s="1"/>
      <c r="G48" s="1"/>
      <c r="H48" s="409"/>
      <c r="I48" s="256">
        <v>8</v>
      </c>
      <c r="J48" s="256"/>
      <c r="K48" s="20" t="s">
        <v>128</v>
      </c>
      <c r="L48" s="352">
        <f>L44</f>
        <v>52.971875044095064</v>
      </c>
      <c r="M48" s="256"/>
      <c r="N48" s="20" t="s">
        <v>128</v>
      </c>
      <c r="O48" s="352">
        <f>sc_li2</f>
        <v>2730.6666666666665</v>
      </c>
      <c r="P48" s="352"/>
      <c r="Q48" s="21"/>
      <c r="R48" s="411"/>
      <c r="S48" s="426"/>
      <c r="T48" s="426"/>
      <c r="U48" s="426"/>
      <c r="V48" s="411"/>
      <c r="W48" s="3"/>
      <c r="X48" s="3"/>
      <c r="Y48" s="363">
        <f>W24</f>
        <v>1</v>
      </c>
      <c r="Z48" s="363"/>
      <c r="AA48" s="35" t="s">
        <v>187</v>
      </c>
      <c r="AB48" s="3"/>
      <c r="AD48" s="48" t="s">
        <v>46</v>
      </c>
      <c r="AE48" s="413">
        <f>I47*(-L47)*O47^2/I48/L48/O48*S47/Y48</f>
        <v>-645.353499823712</v>
      </c>
      <c r="AF48" s="413"/>
      <c r="AG48" s="413"/>
      <c r="AH48" s="47" t="str">
        <f>AH47</f>
        <v>kg/cm2</v>
      </c>
    </row>
    <row r="49" spans="1:30" ht="9.75" customHeight="1">
      <c r="A49" s="6"/>
      <c r="B49" s="6"/>
      <c r="C49" s="6"/>
      <c r="D49" s="6"/>
      <c r="E49" s="6"/>
      <c r="F49" s="417" t="s">
        <v>202</v>
      </c>
      <c r="G49" s="417"/>
      <c r="H49" s="409" t="s">
        <v>111</v>
      </c>
      <c r="I49" s="239" t="s">
        <v>135</v>
      </c>
      <c r="J49" s="239"/>
      <c r="K49" s="3"/>
      <c r="L49" s="428" t="s">
        <v>114</v>
      </c>
      <c r="M49" s="424" t="s">
        <v>137</v>
      </c>
      <c r="N49" s="424"/>
      <c r="O49" s="424"/>
      <c r="P49" s="424"/>
      <c r="Q49" s="424"/>
      <c r="R49" s="424"/>
      <c r="S49" s="424"/>
      <c r="T49" s="424"/>
      <c r="U49" s="424"/>
      <c r="V49" s="409" t="s">
        <v>138</v>
      </c>
      <c r="W49" s="3"/>
      <c r="X49" s="3"/>
      <c r="Y49" s="3"/>
      <c r="Z49" s="3"/>
      <c r="AA49" s="3"/>
      <c r="AC49" s="3"/>
      <c r="AD49" s="3"/>
    </row>
    <row r="50" spans="1:30" ht="9.75" customHeight="1">
      <c r="A50" s="6"/>
      <c r="B50" s="6"/>
      <c r="C50" s="6"/>
      <c r="D50" s="6"/>
      <c r="E50" s="6"/>
      <c r="F50" s="417"/>
      <c r="G50" s="417"/>
      <c r="H50" s="409"/>
      <c r="I50" s="256" t="s">
        <v>144</v>
      </c>
      <c r="J50" s="256"/>
      <c r="K50" s="3"/>
      <c r="L50" s="428"/>
      <c r="M50" s="424"/>
      <c r="N50" s="424"/>
      <c r="O50" s="424"/>
      <c r="P50" s="424"/>
      <c r="Q50" s="424"/>
      <c r="R50" s="424"/>
      <c r="S50" s="424"/>
      <c r="T50" s="424"/>
      <c r="U50" s="424"/>
      <c r="V50" s="409"/>
      <c r="W50" s="3"/>
      <c r="X50" s="3"/>
      <c r="Y50" s="3"/>
      <c r="Z50" s="3"/>
      <c r="AA50" s="3"/>
      <c r="AC50" s="3"/>
      <c r="AD50" s="3"/>
    </row>
    <row r="51" spans="1:34" ht="9.75" customHeight="1">
      <c r="A51" s="1"/>
      <c r="B51" s="1"/>
      <c r="C51" s="1"/>
      <c r="D51" s="1"/>
      <c r="E51" s="1"/>
      <c r="F51" s="1"/>
      <c r="G51" s="1"/>
      <c r="H51" s="409" t="s">
        <v>111</v>
      </c>
      <c r="I51" s="239">
        <f>I43</f>
        <v>10</v>
      </c>
      <c r="J51" s="239"/>
      <c r="K51" s="19" t="s">
        <v>128</v>
      </c>
      <c r="L51" s="239">
        <f>L43</f>
        <v>-16</v>
      </c>
      <c r="M51" s="239"/>
      <c r="N51" s="19" t="s">
        <v>128</v>
      </c>
      <c r="O51" s="239">
        <f>O43</f>
        <v>406</v>
      </c>
      <c r="P51" s="239"/>
      <c r="Q51" s="1" t="s">
        <v>129</v>
      </c>
      <c r="R51" s="411" t="s">
        <v>130</v>
      </c>
      <c r="S51" s="426">
        <f>S34</f>
        <v>12.32801126371503</v>
      </c>
      <c r="T51" s="426"/>
      <c r="U51" s="426"/>
      <c r="V51" s="411" t="s">
        <v>138</v>
      </c>
      <c r="Z51" s="35" t="s">
        <v>186</v>
      </c>
      <c r="AC51" s="48" t="s">
        <v>46</v>
      </c>
      <c r="AD51" s="413">
        <f>I51*L51*O51^2/I52/L52/O52*S51</f>
        <v>-561.941422051288</v>
      </c>
      <c r="AE51" s="413"/>
      <c r="AF51" s="413"/>
      <c r="AG51" s="47" t="str">
        <f>AH43</f>
        <v>kg/cm2</v>
      </c>
      <c r="AH51" s="47"/>
    </row>
    <row r="52" spans="1:34" ht="9.75" customHeight="1">
      <c r="A52" s="1"/>
      <c r="B52" s="1"/>
      <c r="C52" s="1"/>
      <c r="D52" s="1"/>
      <c r="E52" s="1"/>
      <c r="F52" s="1"/>
      <c r="G52" s="1"/>
      <c r="H52" s="409"/>
      <c r="I52" s="256">
        <v>4</v>
      </c>
      <c r="J52" s="256"/>
      <c r="K52" s="20" t="s">
        <v>128</v>
      </c>
      <c r="L52" s="352">
        <f>L44</f>
        <v>52.971875044095064</v>
      </c>
      <c r="M52" s="256"/>
      <c r="N52" s="20" t="s">
        <v>128</v>
      </c>
      <c r="O52" s="352">
        <f>O44</f>
        <v>2730.6666666666665</v>
      </c>
      <c r="P52" s="352"/>
      <c r="Q52" s="21"/>
      <c r="R52" s="411"/>
      <c r="S52" s="426"/>
      <c r="T52" s="426"/>
      <c r="U52" s="426"/>
      <c r="V52" s="411"/>
      <c r="W52" s="3"/>
      <c r="X52" s="3"/>
      <c r="Y52" s="3"/>
      <c r="Z52" s="35" t="s">
        <v>187</v>
      </c>
      <c r="AA52" s="3"/>
      <c r="AC52" s="48" t="s">
        <v>46</v>
      </c>
      <c r="AD52" s="413">
        <f>I51*(-L51)*O51^2/I52/L52/O52*S51</f>
        <v>561.941422051288</v>
      </c>
      <c r="AE52" s="413"/>
      <c r="AF52" s="413"/>
      <c r="AG52" s="47" t="str">
        <f>AG51</f>
        <v>kg/cm2</v>
      </c>
      <c r="AH52" s="47"/>
    </row>
    <row r="53" spans="1:30" ht="9.75" customHeight="1">
      <c r="A53" s="6"/>
      <c r="B53" s="6"/>
      <c r="C53" s="6"/>
      <c r="D53" s="6"/>
      <c r="E53" s="6"/>
      <c r="F53" s="427" t="s">
        <v>206</v>
      </c>
      <c r="G53" s="427"/>
      <c r="H53" s="409" t="s">
        <v>111</v>
      </c>
      <c r="I53" s="239" t="s">
        <v>135</v>
      </c>
      <c r="J53" s="239"/>
      <c r="K53" s="3"/>
      <c r="L53" s="428" t="s">
        <v>130</v>
      </c>
      <c r="M53" s="424" t="s">
        <v>140</v>
      </c>
      <c r="N53" s="424"/>
      <c r="O53" s="424"/>
      <c r="P53" s="424"/>
      <c r="Q53" s="424"/>
      <c r="R53" s="424"/>
      <c r="S53" s="424"/>
      <c r="T53" s="424"/>
      <c r="U53" s="424"/>
      <c r="V53" s="409" t="s">
        <v>138</v>
      </c>
      <c r="W53" s="3"/>
      <c r="X53" s="3"/>
      <c r="Y53" s="3"/>
      <c r="Z53" s="3"/>
      <c r="AA53" s="3"/>
      <c r="AC53" s="3"/>
      <c r="AD53" s="3"/>
    </row>
    <row r="54" spans="1:30" ht="9.75" customHeight="1">
      <c r="A54" s="6"/>
      <c r="B54" s="6"/>
      <c r="C54" s="6"/>
      <c r="D54" s="6"/>
      <c r="E54" s="6"/>
      <c r="F54" s="427"/>
      <c r="G54" s="427"/>
      <c r="H54" s="409"/>
      <c r="I54" s="256" t="s">
        <v>145</v>
      </c>
      <c r="J54" s="256"/>
      <c r="K54" s="3"/>
      <c r="L54" s="428"/>
      <c r="M54" s="424"/>
      <c r="N54" s="424"/>
      <c r="O54" s="424"/>
      <c r="P54" s="424"/>
      <c r="Q54" s="424"/>
      <c r="R54" s="424"/>
      <c r="S54" s="424"/>
      <c r="T54" s="424"/>
      <c r="U54" s="424"/>
      <c r="V54" s="409"/>
      <c r="W54" s="3"/>
      <c r="X54" s="3"/>
      <c r="Y54" s="3"/>
      <c r="Z54" s="3"/>
      <c r="AA54" s="3"/>
      <c r="AC54" s="3"/>
      <c r="AD54" s="3"/>
    </row>
    <row r="55" spans="1:34" ht="9.75" customHeight="1">
      <c r="A55" s="1"/>
      <c r="B55" s="1"/>
      <c r="C55" s="1"/>
      <c r="D55" s="1"/>
      <c r="E55" s="1"/>
      <c r="F55" s="1"/>
      <c r="G55" s="1"/>
      <c r="H55" s="409" t="s">
        <v>111</v>
      </c>
      <c r="I55" s="239">
        <f>I43</f>
        <v>10</v>
      </c>
      <c r="J55" s="239"/>
      <c r="K55" s="19" t="s">
        <v>128</v>
      </c>
      <c r="L55" s="239">
        <f>L47</f>
        <v>-16</v>
      </c>
      <c r="M55" s="239"/>
      <c r="N55" s="19" t="s">
        <v>128</v>
      </c>
      <c r="O55" s="239">
        <f>O43</f>
        <v>406</v>
      </c>
      <c r="P55" s="239"/>
      <c r="Q55" s="1" t="s">
        <v>129</v>
      </c>
      <c r="R55" s="411" t="s">
        <v>130</v>
      </c>
      <c r="S55" s="426">
        <f>S38</f>
        <v>12.32801126371503</v>
      </c>
      <c r="T55" s="426"/>
      <c r="U55" s="426"/>
      <c r="V55" s="411" t="s">
        <v>138</v>
      </c>
      <c r="Z55" s="35" t="s">
        <v>186</v>
      </c>
      <c r="AC55" s="48" t="s">
        <v>46</v>
      </c>
      <c r="AD55" s="413">
        <f>I55*L55*O55^2/I56/L56/O56*S55</f>
        <v>-561.941422051288</v>
      </c>
      <c r="AE55" s="413"/>
      <c r="AF55" s="413"/>
      <c r="AG55" s="47" t="str">
        <f>AG51</f>
        <v>kg/cm2</v>
      </c>
      <c r="AH55" s="47"/>
    </row>
    <row r="56" spans="1:34" ht="9.75" customHeight="1">
      <c r="A56" s="1"/>
      <c r="B56" s="1"/>
      <c r="C56" s="1"/>
      <c r="D56" s="1"/>
      <c r="E56" s="1"/>
      <c r="F56" s="1"/>
      <c r="G56" s="1"/>
      <c r="H56" s="409"/>
      <c r="I56" s="256">
        <v>4</v>
      </c>
      <c r="J56" s="256"/>
      <c r="K56" s="20" t="s">
        <v>128</v>
      </c>
      <c r="L56" s="352">
        <f>L44</f>
        <v>52.971875044095064</v>
      </c>
      <c r="M56" s="256"/>
      <c r="N56" s="20" t="s">
        <v>128</v>
      </c>
      <c r="O56" s="352">
        <f>O48</f>
        <v>2730.6666666666665</v>
      </c>
      <c r="P56" s="352"/>
      <c r="Q56" s="21"/>
      <c r="R56" s="411"/>
      <c r="S56" s="426"/>
      <c r="T56" s="426"/>
      <c r="U56" s="426"/>
      <c r="V56" s="411"/>
      <c r="W56" s="3"/>
      <c r="X56" s="3"/>
      <c r="Y56" s="3"/>
      <c r="Z56" s="35" t="s">
        <v>187</v>
      </c>
      <c r="AA56" s="3"/>
      <c r="AC56" s="48" t="s">
        <v>46</v>
      </c>
      <c r="AD56" s="413">
        <f>I55*(-L55)*O55^2/I56/L56/O56*S55</f>
        <v>561.941422051288</v>
      </c>
      <c r="AE56" s="413"/>
      <c r="AF56" s="413"/>
      <c r="AG56" s="47" t="str">
        <f>AG55</f>
        <v>kg/cm2</v>
      </c>
      <c r="AH56" s="47"/>
    </row>
    <row r="57" spans="1:29" ht="9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AC57" s="3"/>
    </row>
    <row r="58" spans="1:37" ht="9.75" customHeight="1">
      <c r="A58" s="6"/>
      <c r="B58" s="6"/>
      <c r="C58" s="6"/>
      <c r="D58" s="9" t="s">
        <v>116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3"/>
      <c r="W58" s="3"/>
      <c r="X58" s="3"/>
      <c r="Y58" s="3"/>
      <c r="Z58" s="3"/>
      <c r="AA58" s="3"/>
      <c r="AB58" s="3"/>
      <c r="AC58" s="3"/>
      <c r="AJ58" s="239" t="s">
        <v>228</v>
      </c>
      <c r="AK58" s="239"/>
    </row>
    <row r="59" spans="1:37" ht="9.75" customHeight="1">
      <c r="A59" s="1"/>
      <c r="B59" s="1"/>
      <c r="C59" s="1"/>
      <c r="D59" s="1"/>
      <c r="E59" s="9" t="str">
        <f>E14</f>
        <v>Top / Bottom Plate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AC59" s="3"/>
      <c r="AD59" s="341">
        <v>1.5</v>
      </c>
      <c r="AE59" s="341"/>
      <c r="AF59" s="27" t="s">
        <v>117</v>
      </c>
      <c r="AJ59" s="416" t="s">
        <v>229</v>
      </c>
      <c r="AK59" s="416"/>
    </row>
    <row r="60" spans="1:37" ht="9.75" customHeight="1">
      <c r="A60" s="1"/>
      <c r="B60" s="1"/>
      <c r="C60" s="1"/>
      <c r="D60" s="1"/>
      <c r="E60" s="1"/>
      <c r="F60" s="9" t="s">
        <v>148</v>
      </c>
      <c r="G60" s="1"/>
      <c r="H60" s="1" t="s">
        <v>111</v>
      </c>
      <c r="I60" s="288" t="str">
        <f>F15</f>
        <v>Sm</v>
      </c>
      <c r="J60" s="288"/>
      <c r="K60" s="19" t="s">
        <v>115</v>
      </c>
      <c r="L60" s="288" t="str">
        <f>F32</f>
        <v>(Sb)Q</v>
      </c>
      <c r="M60" s="288"/>
      <c r="N60" s="19" t="s">
        <v>111</v>
      </c>
      <c r="O60" s="318">
        <f>Y15</f>
        <v>92.27272727272727</v>
      </c>
      <c r="P60" s="318"/>
      <c r="Q60" s="318"/>
      <c r="R60" s="19" t="s">
        <v>115</v>
      </c>
      <c r="S60" s="318">
        <f>AD34</f>
        <v>-1188.9008598771052</v>
      </c>
      <c r="T60" s="318"/>
      <c r="U60" s="318"/>
      <c r="V60" s="35" t="s">
        <v>188</v>
      </c>
      <c r="X60" s="8" t="s">
        <v>111</v>
      </c>
      <c r="Y60" s="412">
        <f>O60+S60</f>
        <v>-1096.628132604378</v>
      </c>
      <c r="Z60" s="412"/>
      <c r="AA60" s="412"/>
      <c r="AB60" s="2" t="str">
        <f>AB15</f>
        <v>kg/cm2</v>
      </c>
      <c r="AC60" s="23" t="str">
        <f>IF(ABS(Y60)&lt;=ABS(AD60),"&lt;","&gt;")</f>
        <v>&lt;</v>
      </c>
      <c r="AD60" s="264">
        <f>AD59*sc_mas</f>
        <v>1560.1658058562302</v>
      </c>
      <c r="AE60" s="264"/>
      <c r="AF60" s="264"/>
      <c r="AG60" s="410" t="str">
        <f>IF(ABS(Y60)&lt;=ABS(AD60),"OK !","NO !")</f>
        <v>OK !</v>
      </c>
      <c r="AH60" s="410"/>
      <c r="AI60" s="8" t="s">
        <v>25</v>
      </c>
      <c r="AJ60" s="328">
        <f>ABS(Y60/AD60)</f>
        <v>0.7028920442225309</v>
      </c>
      <c r="AK60" s="328"/>
    </row>
    <row r="61" spans="1:37" ht="9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9" t="s">
        <v>111</v>
      </c>
      <c r="O61" s="318">
        <f>O60</f>
        <v>92.27272727272727</v>
      </c>
      <c r="P61" s="318"/>
      <c r="Q61" s="318"/>
      <c r="R61" s="19" t="s">
        <v>115</v>
      </c>
      <c r="S61" s="318">
        <f>AD35</f>
        <v>1188.9008598771052</v>
      </c>
      <c r="T61" s="318"/>
      <c r="U61" s="318"/>
      <c r="V61" s="67" t="s">
        <v>189</v>
      </c>
      <c r="W61" s="3"/>
      <c r="X61" s="8" t="s">
        <v>111</v>
      </c>
      <c r="Y61" s="412">
        <f>O61+S61</f>
        <v>1281.1735871498324</v>
      </c>
      <c r="Z61" s="412"/>
      <c r="AA61" s="412"/>
      <c r="AB61" s="3" t="str">
        <f>AB60</f>
        <v>kg/cm2</v>
      </c>
      <c r="AC61" s="23" t="str">
        <f>IF(ABS(Y61)&lt;=ABS(AD61),"&lt;","&gt;")</f>
        <v>&lt;</v>
      </c>
      <c r="AD61" s="264">
        <f>AD60</f>
        <v>1560.1658058562302</v>
      </c>
      <c r="AE61" s="264"/>
      <c r="AF61" s="264"/>
      <c r="AG61" s="410" t="str">
        <f>IF(ABS(Y61)&lt;=ABS(AD61),"OK !","NO !")</f>
        <v>OK !</v>
      </c>
      <c r="AH61" s="410"/>
      <c r="AJ61" s="328">
        <f>ABS(Y61/AD61)</f>
        <v>0.8211778404197977</v>
      </c>
      <c r="AK61" s="328"/>
    </row>
    <row r="62" spans="1:37" ht="9.75" customHeight="1">
      <c r="A62" s="1"/>
      <c r="B62" s="1"/>
      <c r="C62" s="1"/>
      <c r="D62" s="1"/>
      <c r="E62" s="1"/>
      <c r="F62" s="9" t="s">
        <v>149</v>
      </c>
      <c r="G62" s="1"/>
      <c r="H62" s="1" t="s">
        <v>111</v>
      </c>
      <c r="I62" s="288" t="str">
        <f>F15</f>
        <v>Sm</v>
      </c>
      <c r="J62" s="288"/>
      <c r="K62" s="19" t="s">
        <v>115</v>
      </c>
      <c r="L62" s="288" t="str">
        <f>F36</f>
        <v>(Sb)Q1</v>
      </c>
      <c r="M62" s="288"/>
      <c r="N62" s="19" t="s">
        <v>111</v>
      </c>
      <c r="O62" s="318">
        <f>O60</f>
        <v>92.27272727272727</v>
      </c>
      <c r="P62" s="318"/>
      <c r="Q62" s="318"/>
      <c r="R62" s="19" t="s">
        <v>115</v>
      </c>
      <c r="S62" s="318">
        <f>AD38</f>
        <v>-1188.9008598771052</v>
      </c>
      <c r="T62" s="318"/>
      <c r="U62" s="318"/>
      <c r="V62" s="35" t="s">
        <v>188</v>
      </c>
      <c r="X62" s="8" t="s">
        <v>111</v>
      </c>
      <c r="Y62" s="412">
        <f>O62+S62</f>
        <v>-1096.628132604378</v>
      </c>
      <c r="Z62" s="412"/>
      <c r="AA62" s="412"/>
      <c r="AB62" s="2" t="str">
        <f>AB60</f>
        <v>kg/cm2</v>
      </c>
      <c r="AC62" s="23" t="str">
        <f>IF(ABS(Y62)&lt;=ABS(AD62),"&lt;","&gt;")</f>
        <v>&lt;</v>
      </c>
      <c r="AD62" s="264">
        <f>AD59*sc_mas</f>
        <v>1560.1658058562302</v>
      </c>
      <c r="AE62" s="264"/>
      <c r="AF62" s="264"/>
      <c r="AG62" s="410" t="str">
        <f>IF(ABS(Y62)&lt;=ABS(AD62),"OK !","NO !")</f>
        <v>OK !</v>
      </c>
      <c r="AH62" s="410"/>
      <c r="AI62" s="8" t="s">
        <v>29</v>
      </c>
      <c r="AJ62" s="328">
        <f>ABS(Y62/AD62)</f>
        <v>0.7028920442225309</v>
      </c>
      <c r="AK62" s="328"/>
    </row>
    <row r="63" spans="1:37" ht="9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19" t="s">
        <v>111</v>
      </c>
      <c r="O63" s="318">
        <f>O62</f>
        <v>92.27272727272727</v>
      </c>
      <c r="P63" s="318"/>
      <c r="Q63" s="318"/>
      <c r="R63" s="19" t="s">
        <v>115</v>
      </c>
      <c r="S63" s="318">
        <f>AD39</f>
        <v>1188.9008598771052</v>
      </c>
      <c r="T63" s="318"/>
      <c r="U63" s="318"/>
      <c r="V63" s="67" t="s">
        <v>189</v>
      </c>
      <c r="W63" s="3"/>
      <c r="X63" s="8" t="s">
        <v>111</v>
      </c>
      <c r="Y63" s="412">
        <f>O63+S63</f>
        <v>1281.1735871498324</v>
      </c>
      <c r="Z63" s="412"/>
      <c r="AA63" s="412"/>
      <c r="AB63" s="3" t="str">
        <f>AB62</f>
        <v>kg/cm2</v>
      </c>
      <c r="AC63" s="23" t="str">
        <f>IF(ABS(Y63)&lt;=ABS(AD63),"&lt;","&gt;")</f>
        <v>&lt;</v>
      </c>
      <c r="AD63" s="264">
        <f>AD62</f>
        <v>1560.1658058562302</v>
      </c>
      <c r="AE63" s="264"/>
      <c r="AF63" s="264"/>
      <c r="AG63" s="410" t="str">
        <f>IF(ABS(Y63)&lt;=ABS(AD63),"OK !","NO !")</f>
        <v>OK !</v>
      </c>
      <c r="AH63" s="410"/>
      <c r="AJ63" s="328">
        <f>ABS(Y63/AD63)</f>
        <v>0.8211778404197977</v>
      </c>
      <c r="AK63" s="328"/>
    </row>
    <row r="64" spans="1:37" ht="9.75" customHeight="1">
      <c r="A64" s="6"/>
      <c r="B64" s="6"/>
      <c r="C64" s="6"/>
      <c r="D64" s="6"/>
      <c r="E64" s="28" t="str">
        <f>plate_ID_cp</f>
        <v>Cover Plate</v>
      </c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3"/>
      <c r="W64" s="3"/>
      <c r="X64" s="145" t="s">
        <v>469</v>
      </c>
      <c r="Y64" s="420">
        <f>MAX(ABS(Y60),ABS(Y61),ABS(Y62),ABS(Y63))</f>
        <v>1281.1735871498324</v>
      </c>
      <c r="Z64" s="420"/>
      <c r="AA64" s="420"/>
      <c r="AC64" s="3"/>
      <c r="AD64" s="68"/>
      <c r="AE64" s="68"/>
      <c r="AF64" s="68"/>
      <c r="AJ64" s="421">
        <f>MAX(AJ60:AK63)</f>
        <v>0.8211778404197977</v>
      </c>
      <c r="AK64" s="421"/>
    </row>
    <row r="65" spans="1:37" ht="9.75" customHeight="1">
      <c r="A65" s="6"/>
      <c r="B65" s="6"/>
      <c r="C65" s="6"/>
      <c r="D65" s="6"/>
      <c r="E65" s="6"/>
      <c r="F65" s="9" t="s">
        <v>150</v>
      </c>
      <c r="G65" s="1"/>
      <c r="H65" s="1" t="s">
        <v>111</v>
      </c>
      <c r="I65" s="288" t="str">
        <f>F21</f>
        <v>Smt2</v>
      </c>
      <c r="J65" s="288"/>
      <c r="K65" s="19" t="s">
        <v>115</v>
      </c>
      <c r="L65" s="288" t="str">
        <f>F45</f>
        <v>(Sb)M1</v>
      </c>
      <c r="M65" s="288"/>
      <c r="N65" s="19" t="s">
        <v>111</v>
      </c>
      <c r="O65" s="318">
        <f>Z23</f>
        <v>47.81249999999999</v>
      </c>
      <c r="P65" s="318"/>
      <c r="Q65" s="318"/>
      <c r="R65" s="19" t="s">
        <v>115</v>
      </c>
      <c r="S65" s="318">
        <f>AE47</f>
        <v>645.353499823712</v>
      </c>
      <c r="T65" s="239"/>
      <c r="U65" s="239"/>
      <c r="V65" s="35" t="s">
        <v>188</v>
      </c>
      <c r="X65" s="8" t="s">
        <v>111</v>
      </c>
      <c r="Y65" s="412">
        <f>O65+S65</f>
        <v>693.165999823712</v>
      </c>
      <c r="Z65" s="412"/>
      <c r="AA65" s="412"/>
      <c r="AB65" s="2" t="str">
        <f>AB70</f>
        <v>kg/cm2</v>
      </c>
      <c r="AC65" s="23" t="str">
        <f>IF(ABS(Y65)&lt;=ABS(AD65),"&lt;","&gt;")</f>
        <v>&lt;</v>
      </c>
      <c r="AD65" s="264">
        <f>AD70</f>
        <v>1560.1658058562302</v>
      </c>
      <c r="AE65" s="264"/>
      <c r="AF65" s="264"/>
      <c r="AG65" s="410" t="str">
        <f>IF(ABS(Y65)&lt;=ABS(AD65),"OK !","NO !")</f>
        <v>OK !</v>
      </c>
      <c r="AH65" s="410"/>
      <c r="AI65" s="8" t="s">
        <v>235</v>
      </c>
      <c r="AJ65" s="328">
        <f>ABS(Y65/AD65)</f>
        <v>0.4442899576582487</v>
      </c>
      <c r="AK65" s="328"/>
    </row>
    <row r="66" spans="1:37" ht="9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19" t="s">
        <v>111</v>
      </c>
      <c r="O66" s="318">
        <f>O65</f>
        <v>47.81249999999999</v>
      </c>
      <c r="P66" s="318"/>
      <c r="Q66" s="318"/>
      <c r="R66" s="19" t="s">
        <v>115</v>
      </c>
      <c r="S66" s="318">
        <f>AE48</f>
        <v>-645.353499823712</v>
      </c>
      <c r="T66" s="239"/>
      <c r="U66" s="239"/>
      <c r="V66" s="67" t="s">
        <v>189</v>
      </c>
      <c r="W66" s="3"/>
      <c r="X66" s="8" t="s">
        <v>111</v>
      </c>
      <c r="Y66" s="412">
        <f>O66+S66</f>
        <v>-597.540999823712</v>
      </c>
      <c r="Z66" s="412"/>
      <c r="AA66" s="412"/>
      <c r="AB66" s="2" t="str">
        <f>AB65</f>
        <v>kg/cm2</v>
      </c>
      <c r="AC66" s="23" t="str">
        <f>IF(ABS(Y66)&lt;=ABS(AD66),"&lt;","&gt;")</f>
        <v>&lt;</v>
      </c>
      <c r="AD66" s="264">
        <f>AD65</f>
        <v>1560.1658058562302</v>
      </c>
      <c r="AE66" s="264"/>
      <c r="AF66" s="264"/>
      <c r="AG66" s="410" t="str">
        <f>IF(ABS(Y66)&lt;=ABS(AD66),"OK !","NO !")</f>
        <v>OK !</v>
      </c>
      <c r="AH66" s="410"/>
      <c r="AI66" s="8"/>
      <c r="AJ66" s="328">
        <f>ABS(Y66/AD66)</f>
        <v>0.38299839515824874</v>
      </c>
      <c r="AK66" s="328"/>
    </row>
    <row r="67" spans="1:37" ht="9.75" customHeight="1">
      <c r="A67" s="1"/>
      <c r="B67" s="1"/>
      <c r="C67" s="1"/>
      <c r="D67" s="1"/>
      <c r="E67" s="1"/>
      <c r="F67" s="9" t="s">
        <v>151</v>
      </c>
      <c r="G67" s="1"/>
      <c r="H67" s="1" t="s">
        <v>111</v>
      </c>
      <c r="I67" s="288" t="str">
        <f>F21</f>
        <v>Smt2</v>
      </c>
      <c r="J67" s="288"/>
      <c r="K67" s="19" t="s">
        <v>115</v>
      </c>
      <c r="L67" s="288" t="str">
        <f>F53</f>
        <v>(Sb)Q1L</v>
      </c>
      <c r="M67" s="288"/>
      <c r="N67" s="19" t="s">
        <v>111</v>
      </c>
      <c r="O67" s="318">
        <f>O65</f>
        <v>47.81249999999999</v>
      </c>
      <c r="P67" s="318"/>
      <c r="Q67" s="318"/>
      <c r="R67" s="19" t="s">
        <v>115</v>
      </c>
      <c r="S67" s="318">
        <f>AD55</f>
        <v>-561.941422051288</v>
      </c>
      <c r="T67" s="318"/>
      <c r="U67" s="318"/>
      <c r="V67" s="35" t="s">
        <v>188</v>
      </c>
      <c r="X67" s="8" t="s">
        <v>111</v>
      </c>
      <c r="Y67" s="412">
        <f>O67+S67</f>
        <v>-514.128922051288</v>
      </c>
      <c r="Z67" s="412"/>
      <c r="AA67" s="412"/>
      <c r="AB67" s="2" t="str">
        <f>AB70</f>
        <v>kg/cm2</v>
      </c>
      <c r="AC67" s="23" t="str">
        <f>IF(ABS(Y67)&lt;=ABS(AD67),"&lt;","&gt;")</f>
        <v>&lt;</v>
      </c>
      <c r="AD67" s="264">
        <f>AD72</f>
        <v>1560.1658058562302</v>
      </c>
      <c r="AE67" s="264"/>
      <c r="AF67" s="264"/>
      <c r="AG67" s="410" t="str">
        <f>IF(ABS(Y67)&lt;=ABS(AD67),"OK !","NO !")</f>
        <v>OK !</v>
      </c>
      <c r="AH67" s="410"/>
      <c r="AI67" s="8" t="s">
        <v>29</v>
      </c>
      <c r="AJ67" s="328">
        <f>ABS(Y67/AD67)</f>
        <v>0.3295347969564878</v>
      </c>
      <c r="AK67" s="328"/>
    </row>
    <row r="68" spans="1:37" ht="9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19" t="s">
        <v>111</v>
      </c>
      <c r="O68" s="318">
        <f>O67</f>
        <v>47.81249999999999</v>
      </c>
      <c r="P68" s="318"/>
      <c r="Q68" s="318"/>
      <c r="R68" s="19" t="s">
        <v>115</v>
      </c>
      <c r="S68" s="318">
        <f>AD56</f>
        <v>561.941422051288</v>
      </c>
      <c r="T68" s="318"/>
      <c r="U68" s="318"/>
      <c r="V68" s="67" t="s">
        <v>189</v>
      </c>
      <c r="W68" s="3"/>
      <c r="X68" s="8" t="s">
        <v>111</v>
      </c>
      <c r="Y68" s="412">
        <f>O68+S68</f>
        <v>609.753922051288</v>
      </c>
      <c r="Z68" s="412"/>
      <c r="AA68" s="412"/>
      <c r="AB68" s="3" t="str">
        <f>AB67</f>
        <v>kg/cm2</v>
      </c>
      <c r="AC68" s="23" t="str">
        <f>IF(ABS(Y68)&lt;=ABS(AD68),"&lt;","&gt;")</f>
        <v>&lt;</v>
      </c>
      <c r="AD68" s="264">
        <f>AD67</f>
        <v>1560.1658058562302</v>
      </c>
      <c r="AE68" s="264"/>
      <c r="AF68" s="264"/>
      <c r="AG68" s="410" t="str">
        <f>IF(ABS(Y68)&lt;=ABS(AD68),"OK !","NO !")</f>
        <v>OK !</v>
      </c>
      <c r="AH68" s="410"/>
      <c r="AI68" s="8"/>
      <c r="AJ68" s="328">
        <f>ABS(Y68/AD68)</f>
        <v>0.3908263594564878</v>
      </c>
      <c r="AK68" s="328"/>
    </row>
    <row r="69" spans="1:37" ht="9.75" customHeight="1">
      <c r="A69" s="6"/>
      <c r="B69" s="6"/>
      <c r="C69" s="6"/>
      <c r="D69" s="6"/>
      <c r="E69" s="148" t="str">
        <f>plate_ID_ts</f>
        <v>Tube Plate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3"/>
      <c r="W69" s="3"/>
      <c r="X69" s="145" t="s">
        <v>469</v>
      </c>
      <c r="Y69" s="420">
        <f>MAX(ABS(Y65),ABS(Y66),ABS(Y67),ABS(Y68))</f>
        <v>693.165999823712</v>
      </c>
      <c r="Z69" s="420"/>
      <c r="AA69" s="420"/>
      <c r="AC69" s="3"/>
      <c r="AD69" s="68"/>
      <c r="AE69" s="68"/>
      <c r="AF69" s="68"/>
      <c r="AJ69" s="421">
        <f>MAX(AJ65:AK68)</f>
        <v>0.4442899576582487</v>
      </c>
      <c r="AK69" s="421"/>
    </row>
    <row r="70" spans="1:37" ht="9.75" customHeight="1">
      <c r="A70" s="6"/>
      <c r="B70" s="6"/>
      <c r="C70" s="6"/>
      <c r="D70" s="6"/>
      <c r="E70" s="6"/>
      <c r="F70" s="9" t="s">
        <v>118</v>
      </c>
      <c r="G70" s="1"/>
      <c r="H70" s="1" t="s">
        <v>111</v>
      </c>
      <c r="I70" s="288" t="str">
        <f>F25</f>
        <v>Smt22</v>
      </c>
      <c r="J70" s="288"/>
      <c r="K70" s="19" t="s">
        <v>115</v>
      </c>
      <c r="L70" s="288" t="str">
        <f>F41</f>
        <v>(Sb)M</v>
      </c>
      <c r="M70" s="288"/>
      <c r="N70" s="19" t="s">
        <v>111</v>
      </c>
      <c r="O70" s="318">
        <f>Z27</f>
        <v>83.77403846153844</v>
      </c>
      <c r="P70" s="318"/>
      <c r="Q70" s="318"/>
      <c r="R70" s="19" t="s">
        <v>115</v>
      </c>
      <c r="S70" s="318">
        <f>AE43</f>
        <v>1130.7475851612046</v>
      </c>
      <c r="T70" s="318"/>
      <c r="U70" s="318"/>
      <c r="V70" s="35" t="s">
        <v>188</v>
      </c>
      <c r="X70" s="8" t="s">
        <v>111</v>
      </c>
      <c r="Y70" s="412">
        <f>O70+S70</f>
        <v>1214.521623622743</v>
      </c>
      <c r="Z70" s="412"/>
      <c r="AA70" s="412"/>
      <c r="AB70" s="2" t="str">
        <f>AH43</f>
        <v>kg/cm2</v>
      </c>
      <c r="AC70" s="23" t="str">
        <f>IF(ABS(Y70)&lt;=ABS(AD70),"&lt;","&gt;")</f>
        <v>&lt;</v>
      </c>
      <c r="AD70" s="264">
        <f>AD59*sc_mas</f>
        <v>1560.1658058562302</v>
      </c>
      <c r="AE70" s="264"/>
      <c r="AF70" s="264"/>
      <c r="AG70" s="410" t="str">
        <f>IF(ABS(Y70)&lt;=ABS(AD70),"OK !","NO !")</f>
        <v>OK !</v>
      </c>
      <c r="AH70" s="410"/>
      <c r="AI70" s="8" t="s">
        <v>234</v>
      </c>
      <c r="AJ70" s="328">
        <f>ABS(Y70/AD70)</f>
        <v>0.7784567634182988</v>
      </c>
      <c r="AK70" s="328"/>
    </row>
    <row r="71" spans="1:37" ht="9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19" t="s">
        <v>111</v>
      </c>
      <c r="O71" s="318">
        <f>O70</f>
        <v>83.77403846153844</v>
      </c>
      <c r="P71" s="318"/>
      <c r="Q71" s="318"/>
      <c r="R71" s="19" t="s">
        <v>115</v>
      </c>
      <c r="S71" s="318">
        <f>AE44</f>
        <v>-1130.7475851612046</v>
      </c>
      <c r="T71" s="318"/>
      <c r="U71" s="318"/>
      <c r="V71" s="67" t="s">
        <v>189</v>
      </c>
      <c r="W71" s="3"/>
      <c r="X71" s="8" t="s">
        <v>111</v>
      </c>
      <c r="Y71" s="412">
        <f>O71+S71</f>
        <v>-1046.9735466996663</v>
      </c>
      <c r="Z71" s="412"/>
      <c r="AA71" s="412"/>
      <c r="AB71" s="3" t="str">
        <f>AB70</f>
        <v>kg/cm2</v>
      </c>
      <c r="AC71" s="23" t="str">
        <f>IF(ABS(Y71)&lt;=ABS(AD71),"&lt;","&gt;")</f>
        <v>&lt;</v>
      </c>
      <c r="AD71" s="264">
        <f>AD70</f>
        <v>1560.1658058562302</v>
      </c>
      <c r="AE71" s="264"/>
      <c r="AF71" s="264"/>
      <c r="AG71" s="410" t="str">
        <f>IF(ABS(Y71)&lt;=ABS(AD71),"OK !","NO !")</f>
        <v>OK !</v>
      </c>
      <c r="AH71" s="410"/>
      <c r="AJ71" s="328">
        <f>ABS(Y71/AD71)</f>
        <v>0.6710655641661623</v>
      </c>
      <c r="AK71" s="328"/>
    </row>
    <row r="72" spans="1:37" ht="9.75" customHeight="1">
      <c r="A72" s="1"/>
      <c r="B72" s="1"/>
      <c r="C72" s="1"/>
      <c r="D72" s="1"/>
      <c r="E72" s="1"/>
      <c r="F72" s="9" t="s">
        <v>152</v>
      </c>
      <c r="G72" s="1"/>
      <c r="H72" s="1" t="s">
        <v>111</v>
      </c>
      <c r="I72" s="288" t="str">
        <f>F25</f>
        <v>Smt22</v>
      </c>
      <c r="J72" s="288"/>
      <c r="K72" s="19" t="s">
        <v>115</v>
      </c>
      <c r="L72" s="288" t="str">
        <f>F49</f>
        <v>(Sb)QL</v>
      </c>
      <c r="M72" s="288"/>
      <c r="N72" s="19" t="s">
        <v>111</v>
      </c>
      <c r="O72" s="318">
        <f>O70</f>
        <v>83.77403846153844</v>
      </c>
      <c r="P72" s="318"/>
      <c r="Q72" s="318"/>
      <c r="R72" s="19" t="s">
        <v>115</v>
      </c>
      <c r="S72" s="318">
        <f>AD51</f>
        <v>-561.941422051288</v>
      </c>
      <c r="T72" s="318"/>
      <c r="U72" s="318"/>
      <c r="V72" s="35" t="s">
        <v>188</v>
      </c>
      <c r="X72" s="8" t="s">
        <v>111</v>
      </c>
      <c r="Y72" s="412">
        <f>O72+S72</f>
        <v>-478.16738358974953</v>
      </c>
      <c r="Z72" s="412"/>
      <c r="AA72" s="412"/>
      <c r="AB72" s="2" t="str">
        <f>AB70</f>
        <v>kg/cm2</v>
      </c>
      <c r="AC72" s="23" t="str">
        <f>IF(ABS(Y72)&lt;=ABS(AD72),"&lt;","&gt;")</f>
        <v>&lt;</v>
      </c>
      <c r="AD72" s="264">
        <f>AD59*sc_mas</f>
        <v>1560.1658058562302</v>
      </c>
      <c r="AE72" s="264"/>
      <c r="AF72" s="264"/>
      <c r="AG72" s="410" t="str">
        <f>IF(ABS(Y72)&lt;=ABS(AD72),"OK !","NO !")</f>
        <v>OK !</v>
      </c>
      <c r="AH72" s="410"/>
      <c r="AI72" s="8" t="s">
        <v>25</v>
      </c>
      <c r="AJ72" s="328">
        <f>ABS(Y72/AD72)</f>
        <v>0.3064849785804194</v>
      </c>
      <c r="AK72" s="328"/>
    </row>
    <row r="73" spans="1:37" ht="9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19" t="s">
        <v>111</v>
      </c>
      <c r="O73" s="318">
        <f>O72</f>
        <v>83.77403846153844</v>
      </c>
      <c r="P73" s="318"/>
      <c r="Q73" s="318"/>
      <c r="R73" s="19" t="s">
        <v>115</v>
      </c>
      <c r="S73" s="318">
        <f>AD52</f>
        <v>561.941422051288</v>
      </c>
      <c r="T73" s="318"/>
      <c r="U73" s="318"/>
      <c r="V73" s="67" t="s">
        <v>189</v>
      </c>
      <c r="W73" s="3"/>
      <c r="X73" s="8" t="s">
        <v>111</v>
      </c>
      <c r="Y73" s="412">
        <f>O73+S73</f>
        <v>645.7154605128264</v>
      </c>
      <c r="Z73" s="412"/>
      <c r="AA73" s="412"/>
      <c r="AB73" s="3" t="str">
        <f>AB72</f>
        <v>kg/cm2</v>
      </c>
      <c r="AC73" s="23" t="str">
        <f>IF(ABS(Y73)&lt;=ABS(AD73),"&lt;","&gt;")</f>
        <v>&lt;</v>
      </c>
      <c r="AD73" s="264">
        <f>AD72</f>
        <v>1560.1658058562302</v>
      </c>
      <c r="AE73" s="264"/>
      <c r="AF73" s="264"/>
      <c r="AG73" s="410" t="str">
        <f>IF(ABS(Y73)&lt;=ABS(AD73),"OK !","NO !")</f>
        <v>OK !</v>
      </c>
      <c r="AH73" s="410"/>
      <c r="AJ73" s="328">
        <f>ABS(Y73/AD73)</f>
        <v>0.41387617783255615</v>
      </c>
      <c r="AK73" s="328"/>
    </row>
    <row r="74" spans="1:37" ht="9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3"/>
      <c r="W74" s="3"/>
      <c r="X74" s="145" t="s">
        <v>469</v>
      </c>
      <c r="Y74" s="420">
        <f>MAX(ABS(Y70),ABS(Y71),ABS(Y72),ABS(Y73))</f>
        <v>1214.521623622743</v>
      </c>
      <c r="Z74" s="420"/>
      <c r="AA74" s="420"/>
      <c r="AC74" s="3"/>
      <c r="AD74" s="68"/>
      <c r="AE74" s="68"/>
      <c r="AF74" s="68"/>
      <c r="AJ74" s="421">
        <f>MAX(AJ70:AK73)</f>
        <v>0.7784567634182988</v>
      </c>
      <c r="AK74" s="421"/>
    </row>
    <row r="75" spans="1:34" ht="11.25">
      <c r="A75" s="10" t="str">
        <f>cosymbol</f>
        <v> NTES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1" t="str">
        <f>coname</f>
        <v>Narai Thermal Engineering Services </v>
      </c>
    </row>
    <row r="115" ht="13.5" customHeight="1"/>
    <row r="116" ht="13.5" customHeight="1"/>
  </sheetData>
  <mergeCells count="300">
    <mergeCell ref="Y74:AA74"/>
    <mergeCell ref="T40:U40"/>
    <mergeCell ref="X40:Y40"/>
    <mergeCell ref="AG40:AH40"/>
    <mergeCell ref="AD59:AE59"/>
    <mergeCell ref="AD70:AF70"/>
    <mergeCell ref="AD72:AF72"/>
    <mergeCell ref="Y60:AA60"/>
    <mergeCell ref="AD60:AF60"/>
    <mergeCell ref="AD62:AF62"/>
    <mergeCell ref="I60:J60"/>
    <mergeCell ref="I62:J62"/>
    <mergeCell ref="O60:Q60"/>
    <mergeCell ref="S60:U60"/>
    <mergeCell ref="L60:M60"/>
    <mergeCell ref="L62:M62"/>
    <mergeCell ref="O61:Q61"/>
    <mergeCell ref="S61:U61"/>
    <mergeCell ref="I70:J70"/>
    <mergeCell ref="I72:J72"/>
    <mergeCell ref="I65:J65"/>
    <mergeCell ref="L72:M72"/>
    <mergeCell ref="L70:M70"/>
    <mergeCell ref="L65:M65"/>
    <mergeCell ref="I67:J67"/>
    <mergeCell ref="L67:M67"/>
    <mergeCell ref="R23:R24"/>
    <mergeCell ref="P18:Q18"/>
    <mergeCell ref="V18:X18"/>
    <mergeCell ref="AG70:AH70"/>
    <mergeCell ref="AD63:AF63"/>
    <mergeCell ref="AG63:AH63"/>
    <mergeCell ref="V34:V35"/>
    <mergeCell ref="S34:U35"/>
    <mergeCell ref="S43:U44"/>
    <mergeCell ref="Y69:AA69"/>
    <mergeCell ref="O48:P48"/>
    <mergeCell ref="V27:V28"/>
    <mergeCell ref="V41:V42"/>
    <mergeCell ref="AD61:AF61"/>
    <mergeCell ref="O34:P34"/>
    <mergeCell ref="V32:V33"/>
    <mergeCell ref="M32:U33"/>
    <mergeCell ref="V36:V37"/>
    <mergeCell ref="X41:X42"/>
    <mergeCell ref="M41:U42"/>
    <mergeCell ref="AG61:AH61"/>
    <mergeCell ref="AG60:AH60"/>
    <mergeCell ref="Y15:AA15"/>
    <mergeCell ref="AD20:AF20"/>
    <mergeCell ref="AD15:AF15"/>
    <mergeCell ref="AC21:AC22"/>
    <mergeCell ref="Q21:AB22"/>
    <mergeCell ref="Y27:Y28"/>
    <mergeCell ref="Z23:AA24"/>
    <mergeCell ref="V15:W15"/>
    <mergeCell ref="V20:W20"/>
    <mergeCell ref="AF19:AG19"/>
    <mergeCell ref="V19:W19"/>
    <mergeCell ref="AG15:AH15"/>
    <mergeCell ref="F41:G42"/>
    <mergeCell ref="M15:N15"/>
    <mergeCell ref="P15:Q15"/>
    <mergeCell ref="S15:T15"/>
    <mergeCell ref="I42:J42"/>
    <mergeCell ref="H41:H42"/>
    <mergeCell ref="K41:K42"/>
    <mergeCell ref="L41:L42"/>
    <mergeCell ref="M19:N19"/>
    <mergeCell ref="M20:N20"/>
    <mergeCell ref="F21:G22"/>
    <mergeCell ref="W41:W42"/>
    <mergeCell ref="H47:H48"/>
    <mergeCell ref="I47:J47"/>
    <mergeCell ref="L47:M47"/>
    <mergeCell ref="O47:P47"/>
    <mergeCell ref="I48:J48"/>
    <mergeCell ref="L48:M48"/>
    <mergeCell ref="L43:M43"/>
    <mergeCell ref="I43:J43"/>
    <mergeCell ref="F45:G46"/>
    <mergeCell ref="H45:H46"/>
    <mergeCell ref="I46:J46"/>
    <mergeCell ref="I45:J45"/>
    <mergeCell ref="K45:K46"/>
    <mergeCell ref="L45:L46"/>
    <mergeCell ref="M45:U46"/>
    <mergeCell ref="I35:J35"/>
    <mergeCell ref="L35:M35"/>
    <mergeCell ref="O35:P35"/>
    <mergeCell ref="R34:R35"/>
    <mergeCell ref="M36:U37"/>
    <mergeCell ref="I34:J34"/>
    <mergeCell ref="L34:M34"/>
    <mergeCell ref="H21:H22"/>
    <mergeCell ref="P21:P22"/>
    <mergeCell ref="L21:O22"/>
    <mergeCell ref="I22:J22"/>
    <mergeCell ref="I21:J21"/>
    <mergeCell ref="K21:K22"/>
    <mergeCell ref="H23:H24"/>
    <mergeCell ref="J24:K24"/>
    <mergeCell ref="M24:N24"/>
    <mergeCell ref="P24:Q24"/>
    <mergeCell ref="M23:N23"/>
    <mergeCell ref="F25:G26"/>
    <mergeCell ref="H25:H26"/>
    <mergeCell ref="I25:J25"/>
    <mergeCell ref="K25:K26"/>
    <mergeCell ref="I26:J26"/>
    <mergeCell ref="L25:O26"/>
    <mergeCell ref="P25:P26"/>
    <mergeCell ref="Q25:AB26"/>
    <mergeCell ref="J28:K28"/>
    <mergeCell ref="M28:N28"/>
    <mergeCell ref="P28:Q28"/>
    <mergeCell ref="S27:U28"/>
    <mergeCell ref="W27:X27"/>
    <mergeCell ref="W28:X28"/>
    <mergeCell ref="H27:H28"/>
    <mergeCell ref="M27:N27"/>
    <mergeCell ref="R27:R28"/>
    <mergeCell ref="F32:G33"/>
    <mergeCell ref="H32:H33"/>
    <mergeCell ref="I32:J32"/>
    <mergeCell ref="L32:L33"/>
    <mergeCell ref="I33:J33"/>
    <mergeCell ref="S23:U24"/>
    <mergeCell ref="W23:X23"/>
    <mergeCell ref="W24:X24"/>
    <mergeCell ref="AG23:AH24"/>
    <mergeCell ref="Y23:Y24"/>
    <mergeCell ref="V23:V24"/>
    <mergeCell ref="AG27:AH28"/>
    <mergeCell ref="AB27:AC28"/>
    <mergeCell ref="AE23:AF24"/>
    <mergeCell ref="AE27:AF28"/>
    <mergeCell ref="AD27:AD28"/>
    <mergeCell ref="AD23:AD24"/>
    <mergeCell ref="AB23:AC24"/>
    <mergeCell ref="AC25:AC26"/>
    <mergeCell ref="F36:G37"/>
    <mergeCell ref="H36:H37"/>
    <mergeCell ref="I36:J36"/>
    <mergeCell ref="L36:L37"/>
    <mergeCell ref="I37:J37"/>
    <mergeCell ref="R38:R39"/>
    <mergeCell ref="S38:U39"/>
    <mergeCell ref="L39:M39"/>
    <mergeCell ref="L38:M38"/>
    <mergeCell ref="O38:P38"/>
    <mergeCell ref="O39:P39"/>
    <mergeCell ref="V38:V39"/>
    <mergeCell ref="H38:H39"/>
    <mergeCell ref="H43:H44"/>
    <mergeCell ref="O43:P43"/>
    <mergeCell ref="R43:R44"/>
    <mergeCell ref="I39:J39"/>
    <mergeCell ref="I38:J38"/>
    <mergeCell ref="I41:J41"/>
    <mergeCell ref="V43:V44"/>
    <mergeCell ref="I44:J44"/>
    <mergeCell ref="L44:M44"/>
    <mergeCell ref="O44:P44"/>
    <mergeCell ref="V45:V46"/>
    <mergeCell ref="W45:W46"/>
    <mergeCell ref="X45:X46"/>
    <mergeCell ref="R47:R48"/>
    <mergeCell ref="S47:U48"/>
    <mergeCell ref="V47:V48"/>
    <mergeCell ref="M49:U50"/>
    <mergeCell ref="V49:V50"/>
    <mergeCell ref="F49:G50"/>
    <mergeCell ref="H49:H50"/>
    <mergeCell ref="I49:J49"/>
    <mergeCell ref="L49:L50"/>
    <mergeCell ref="I50:J50"/>
    <mergeCell ref="R51:R52"/>
    <mergeCell ref="S51:U52"/>
    <mergeCell ref="V51:V52"/>
    <mergeCell ref="H51:H52"/>
    <mergeCell ref="I51:J51"/>
    <mergeCell ref="L51:M51"/>
    <mergeCell ref="I52:J52"/>
    <mergeCell ref="L52:M52"/>
    <mergeCell ref="O52:P52"/>
    <mergeCell ref="O51:P51"/>
    <mergeCell ref="M53:U54"/>
    <mergeCell ref="V53:V54"/>
    <mergeCell ref="F53:G54"/>
    <mergeCell ref="H53:H54"/>
    <mergeCell ref="I53:J53"/>
    <mergeCell ref="L53:L54"/>
    <mergeCell ref="I54:J54"/>
    <mergeCell ref="R55:R56"/>
    <mergeCell ref="S55:U56"/>
    <mergeCell ref="V55:V56"/>
    <mergeCell ref="H55:H56"/>
    <mergeCell ref="I55:J55"/>
    <mergeCell ref="L55:M55"/>
    <mergeCell ref="I56:J56"/>
    <mergeCell ref="L56:M56"/>
    <mergeCell ref="O56:P56"/>
    <mergeCell ref="O55:P55"/>
    <mergeCell ref="AD65:AF65"/>
    <mergeCell ref="AG65:AH65"/>
    <mergeCell ref="O62:Q62"/>
    <mergeCell ref="S62:U62"/>
    <mergeCell ref="Y62:AA62"/>
    <mergeCell ref="Y64:AA64"/>
    <mergeCell ref="AG62:AH62"/>
    <mergeCell ref="O65:Q65"/>
    <mergeCell ref="S65:U65"/>
    <mergeCell ref="Y65:AA65"/>
    <mergeCell ref="O67:Q67"/>
    <mergeCell ref="S67:U67"/>
    <mergeCell ref="Y47:Z47"/>
    <mergeCell ref="Y48:Z48"/>
    <mergeCell ref="O63:Q63"/>
    <mergeCell ref="S63:U63"/>
    <mergeCell ref="Y61:AA61"/>
    <mergeCell ref="Y63:AA63"/>
    <mergeCell ref="O66:Q66"/>
    <mergeCell ref="S66:U66"/>
    <mergeCell ref="AD21:AE21"/>
    <mergeCell ref="AD22:AE22"/>
    <mergeCell ref="AD25:AE25"/>
    <mergeCell ref="Y41:Z41"/>
    <mergeCell ref="AD36:AF37"/>
    <mergeCell ref="AD38:AF38"/>
    <mergeCell ref="AD39:AF39"/>
    <mergeCell ref="AD34:AF34"/>
    <mergeCell ref="AD35:AF35"/>
    <mergeCell ref="Y42:Z42"/>
    <mergeCell ref="Z27:AA28"/>
    <mergeCell ref="AD26:AE26"/>
    <mergeCell ref="AC36:AC37"/>
    <mergeCell ref="Y45:Z45"/>
    <mergeCell ref="Y46:Z46"/>
    <mergeCell ref="Y43:Z43"/>
    <mergeCell ref="Y44:Z44"/>
    <mergeCell ref="AE43:AG43"/>
    <mergeCell ref="AE44:AG44"/>
    <mergeCell ref="AE47:AG47"/>
    <mergeCell ref="AE48:AG48"/>
    <mergeCell ref="AD51:AF51"/>
    <mergeCell ref="AD52:AF52"/>
    <mergeCell ref="AD55:AF55"/>
    <mergeCell ref="AD56:AF56"/>
    <mergeCell ref="O71:Q71"/>
    <mergeCell ref="S71:U71"/>
    <mergeCell ref="S70:U70"/>
    <mergeCell ref="O68:Q68"/>
    <mergeCell ref="S68:U68"/>
    <mergeCell ref="O70:Q70"/>
    <mergeCell ref="Y71:AA71"/>
    <mergeCell ref="Y66:AA66"/>
    <mergeCell ref="Y67:AA67"/>
    <mergeCell ref="Y73:AA73"/>
    <mergeCell ref="Y68:AA68"/>
    <mergeCell ref="Y72:AA72"/>
    <mergeCell ref="Y70:AA70"/>
    <mergeCell ref="O73:Q73"/>
    <mergeCell ref="S73:U73"/>
    <mergeCell ref="O72:Q72"/>
    <mergeCell ref="S72:U72"/>
    <mergeCell ref="AD71:AF71"/>
    <mergeCell ref="AD66:AF66"/>
    <mergeCell ref="AD73:AF73"/>
    <mergeCell ref="AD68:AF68"/>
    <mergeCell ref="AD67:AF67"/>
    <mergeCell ref="AG71:AH71"/>
    <mergeCell ref="AG66:AH66"/>
    <mergeCell ref="AG73:AH73"/>
    <mergeCell ref="AG68:AH68"/>
    <mergeCell ref="AG72:AH72"/>
    <mergeCell ref="AG67:AH67"/>
    <mergeCell ref="AJ58:AK58"/>
    <mergeCell ref="AJ59:AK59"/>
    <mergeCell ref="AJ60:AK60"/>
    <mergeCell ref="AJ61:AK61"/>
    <mergeCell ref="AJ67:AK67"/>
    <mergeCell ref="AJ73:AK73"/>
    <mergeCell ref="AJ63:AK63"/>
    <mergeCell ref="AJ62:AK62"/>
    <mergeCell ref="AJ71:AK71"/>
    <mergeCell ref="AJ70:AK70"/>
    <mergeCell ref="AJ66:AK66"/>
    <mergeCell ref="AJ65:AK65"/>
    <mergeCell ref="AJ64:AK64"/>
    <mergeCell ref="AJ74:AK74"/>
    <mergeCell ref="AJ68:AK68"/>
    <mergeCell ref="AD1:AH1"/>
    <mergeCell ref="A2:Y4"/>
    <mergeCell ref="AD2:AH2"/>
    <mergeCell ref="AD3:AH3"/>
    <mergeCell ref="AD4:AE4"/>
    <mergeCell ref="AG4:AH4"/>
    <mergeCell ref="AJ72:AK72"/>
    <mergeCell ref="AJ69:AK69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P150"/>
  <sheetViews>
    <sheetView view="pageBreakPreview" zoomScaleSheetLayoutView="100" workbookViewId="0" topLeftCell="A1">
      <selection activeCell="X6" sqref="X6"/>
    </sheetView>
  </sheetViews>
  <sheetFormatPr defaultColWidth="8.88671875" defaultRowHeight="13.5"/>
  <cols>
    <col min="1" max="50" width="2.3359375" style="2" customWidth="1"/>
    <col min="51" max="16384" width="8.88671875" style="2" customWidth="1"/>
  </cols>
  <sheetData>
    <row r="1" spans="1:34" ht="9.75" customHeight="1">
      <c r="A1" s="55"/>
      <c r="B1" s="133" t="str">
        <f>sc_title2</f>
        <v>H E A D E R     B O X</v>
      </c>
      <c r="C1" s="133"/>
      <c r="D1" s="133"/>
      <c r="E1" s="133"/>
      <c r="F1" s="133"/>
      <c r="G1" s="133"/>
      <c r="H1" s="133" t="s">
        <v>429</v>
      </c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41" t="s">
        <v>422</v>
      </c>
      <c r="AA1" s="41"/>
      <c r="AB1" s="41"/>
      <c r="AC1" s="135"/>
      <c r="AD1" s="276" t="str">
        <f>sc_docno</f>
        <v>SC - RPV - 100</v>
      </c>
      <c r="AE1" s="276"/>
      <c r="AF1" s="276"/>
      <c r="AG1" s="276"/>
      <c r="AH1" s="276"/>
    </row>
    <row r="2" spans="1:34" ht="9.75" customHeight="1">
      <c r="A2" s="415" t="str">
        <f>sc_title</f>
        <v>S T R E N G T H     C A L C U L A T I O N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37" t="s">
        <v>423</v>
      </c>
      <c r="AA2" s="37"/>
      <c r="AB2" s="37"/>
      <c r="AC2" s="136"/>
      <c r="AD2" s="263" t="str">
        <f>sc_date</f>
        <v>2019.  7.  15.</v>
      </c>
      <c r="AE2" s="263"/>
      <c r="AF2" s="263"/>
      <c r="AG2" s="263"/>
      <c r="AH2" s="263"/>
    </row>
    <row r="3" spans="1:34" ht="9.75" customHeight="1">
      <c r="A3" s="415"/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37" t="s">
        <v>424</v>
      </c>
      <c r="AA3" s="37"/>
      <c r="AB3" s="37"/>
      <c r="AC3" s="136"/>
      <c r="AD3" s="263">
        <f>sc_revno</f>
        <v>0</v>
      </c>
      <c r="AE3" s="263"/>
      <c r="AF3" s="263"/>
      <c r="AG3" s="263"/>
      <c r="AH3" s="263"/>
    </row>
    <row r="4" spans="1:34" ht="9.75" customHeight="1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51" t="s">
        <v>425</v>
      </c>
      <c r="AA4" s="51"/>
      <c r="AB4" s="51"/>
      <c r="AC4" s="51"/>
      <c r="AD4" s="204">
        <v>2</v>
      </c>
      <c r="AE4" s="204"/>
      <c r="AF4" s="73" t="s">
        <v>0</v>
      </c>
      <c r="AG4" s="236" t="str">
        <f>sc_sheetqty</f>
        <v>x</v>
      </c>
      <c r="AH4" s="236"/>
    </row>
    <row r="5" spans="1:33" ht="9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4" ht="9.75" customHeight="1">
      <c r="A6" s="6"/>
      <c r="B6" s="6" t="s">
        <v>312</v>
      </c>
      <c r="C6" s="6"/>
      <c r="D6" s="6"/>
      <c r="E6" s="7" t="str">
        <f>project</f>
        <v>Later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3"/>
      <c r="R6" s="3"/>
      <c r="S6" s="3"/>
      <c r="T6" s="5"/>
      <c r="U6" s="5"/>
      <c r="V6" s="5"/>
      <c r="Y6" s="3"/>
      <c r="Z6" s="3"/>
      <c r="AA6" s="3"/>
      <c r="AB6" s="3"/>
      <c r="AC6" s="3"/>
      <c r="AD6" s="3"/>
      <c r="AE6" s="3"/>
      <c r="AF6" s="3"/>
      <c r="AG6" s="3"/>
      <c r="AH6" s="4"/>
    </row>
    <row r="7" spans="1:34" ht="9.75" customHeight="1">
      <c r="A7" s="6"/>
      <c r="B7" s="6" t="s">
        <v>313</v>
      </c>
      <c r="C7" s="6"/>
      <c r="D7" s="6"/>
      <c r="E7" s="7" t="str">
        <f>itemno</f>
        <v>H - 100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5"/>
      <c r="U7" s="5"/>
      <c r="V7" s="5"/>
      <c r="Y7" s="6"/>
      <c r="Z7" s="6"/>
      <c r="AA7" s="6"/>
      <c r="AB7" s="6"/>
      <c r="AC7" s="6"/>
      <c r="AD7" s="6"/>
      <c r="AE7" s="6"/>
      <c r="AF7" s="6"/>
      <c r="AG7" s="6"/>
      <c r="AH7" s="4"/>
    </row>
    <row r="8" spans="1:34" ht="9.75" customHeight="1">
      <c r="A8" s="6"/>
      <c r="B8" s="6" t="s">
        <v>314</v>
      </c>
      <c r="C8" s="6"/>
      <c r="D8" s="6"/>
      <c r="E8" s="7" t="str">
        <f>service</f>
        <v>Air Cooled Heat Exchanger</v>
      </c>
      <c r="F8" s="6"/>
      <c r="G8" s="6"/>
      <c r="H8" s="6"/>
      <c r="I8" s="6"/>
      <c r="J8" s="6"/>
      <c r="K8" s="6" t="s">
        <v>321</v>
      </c>
      <c r="L8" s="6"/>
      <c r="M8" s="6"/>
      <c r="N8" s="6"/>
      <c r="O8" s="6"/>
      <c r="P8" s="6"/>
      <c r="Q8" s="6"/>
      <c r="R8" s="6"/>
      <c r="S8" s="6"/>
      <c r="Y8" s="6"/>
      <c r="Z8" s="6"/>
      <c r="AA8" s="6"/>
      <c r="AB8" s="6"/>
      <c r="AC8" s="6"/>
      <c r="AD8" s="6"/>
      <c r="AE8" s="6"/>
      <c r="AF8" s="6"/>
      <c r="AG8" s="6"/>
      <c r="AH8" s="3"/>
    </row>
    <row r="9" spans="1:29" ht="9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3"/>
      <c r="W9" s="3"/>
      <c r="X9" s="3"/>
      <c r="Y9" s="3"/>
      <c r="Z9" s="3"/>
      <c r="AA9" s="3"/>
      <c r="AB9" s="3"/>
      <c r="AC9" s="3"/>
    </row>
    <row r="10" spans="1:29" ht="9.75" customHeight="1">
      <c r="A10" s="1"/>
      <c r="B10" s="1"/>
      <c r="C10" s="12" t="s">
        <v>352</v>
      </c>
      <c r="D10" s="9" t="s">
        <v>315</v>
      </c>
      <c r="E10" s="1"/>
      <c r="F10" s="1"/>
      <c r="G10" s="1"/>
      <c r="H10" s="1"/>
      <c r="I10" s="1"/>
      <c r="J10" s="1"/>
      <c r="K10" s="19" t="s">
        <v>316</v>
      </c>
      <c r="L10" s="25" t="s">
        <v>317</v>
      </c>
      <c r="M10" s="31" t="s">
        <v>318</v>
      </c>
      <c r="N10" s="25" t="s">
        <v>319</v>
      </c>
      <c r="O10" s="1"/>
      <c r="P10" s="1"/>
      <c r="Q10" s="1"/>
      <c r="R10" s="1"/>
      <c r="S10" s="1"/>
      <c r="T10" s="1"/>
      <c r="U10" s="1"/>
      <c r="AC10" s="3"/>
    </row>
    <row r="11" spans="1:36" ht="9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3"/>
      <c r="V11" s="3"/>
      <c r="W11" s="3"/>
      <c r="X11" s="3"/>
      <c r="Y11" s="3"/>
      <c r="Z11" s="3"/>
      <c r="AA11" s="3"/>
      <c r="AB11" s="3"/>
      <c r="AJ11" s="6"/>
    </row>
    <row r="12" spans="1:28" ht="9.75" customHeight="1">
      <c r="A12" s="6"/>
      <c r="B12" s="6"/>
      <c r="C12" s="52" t="s">
        <v>385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 t="s">
        <v>404</v>
      </c>
      <c r="Q12" s="6"/>
      <c r="R12" s="6"/>
      <c r="S12" s="6"/>
      <c r="T12" s="6"/>
      <c r="U12" s="6"/>
      <c r="V12" s="3"/>
      <c r="W12" s="3"/>
      <c r="X12" s="52" t="s">
        <v>408</v>
      </c>
      <c r="Y12" s="3"/>
      <c r="Z12" s="3"/>
      <c r="AA12" s="3"/>
      <c r="AB12" s="3"/>
    </row>
    <row r="13" spans="1:36" ht="9.75" customHeight="1">
      <c r="A13" s="1"/>
      <c r="B13" s="1"/>
      <c r="C13" s="1"/>
      <c r="D13" s="1"/>
      <c r="E13" s="1"/>
      <c r="F13" s="1"/>
      <c r="G13" s="1"/>
      <c r="O13" s="3"/>
      <c r="W13" s="1"/>
      <c r="X13" s="1"/>
      <c r="Y13" s="1"/>
      <c r="Z13" s="1"/>
      <c r="AG13" s="1"/>
      <c r="AH13" s="1"/>
      <c r="AI13" s="1"/>
      <c r="AJ13" s="1"/>
    </row>
    <row r="14" spans="1:36" ht="9.75" customHeight="1">
      <c r="A14" s="1"/>
      <c r="B14" s="1"/>
      <c r="C14" s="1"/>
      <c r="D14" s="1"/>
      <c r="E14" s="1"/>
      <c r="F14" s="1"/>
      <c r="G14" s="1"/>
      <c r="O14" s="3"/>
      <c r="W14" s="1"/>
      <c r="X14" s="127" t="s">
        <v>405</v>
      </c>
      <c r="Y14" s="1"/>
      <c r="Z14" s="1"/>
      <c r="AA14" s="1"/>
      <c r="AB14" s="9" t="s">
        <v>406</v>
      </c>
      <c r="AC14" s="1" t="s">
        <v>39</v>
      </c>
      <c r="AD14" s="265">
        <f>sc_dp</f>
        <v>10</v>
      </c>
      <c r="AE14" s="265"/>
      <c r="AF14" s="1" t="str">
        <f>sc_pu</f>
        <v>kg/cm2.g</v>
      </c>
      <c r="AG14" s="1"/>
      <c r="AH14" s="1"/>
      <c r="AI14" s="1"/>
      <c r="AJ14" s="1"/>
    </row>
    <row r="15" spans="1:36" ht="9.75" customHeight="1">
      <c r="A15" s="6"/>
      <c r="B15" s="6"/>
      <c r="C15" s="6"/>
      <c r="D15" s="6"/>
      <c r="E15" s="6"/>
      <c r="F15" s="6"/>
      <c r="G15" s="6"/>
      <c r="H15" s="3"/>
      <c r="I15" s="3"/>
      <c r="J15" s="3"/>
      <c r="K15" s="3"/>
      <c r="L15" s="3"/>
      <c r="M15" s="3"/>
      <c r="N15" s="3"/>
      <c r="W15" s="6"/>
      <c r="X15" s="9" t="s">
        <v>392</v>
      </c>
      <c r="Y15" s="1"/>
      <c r="Z15" s="1"/>
      <c r="AB15" s="35" t="s">
        <v>394</v>
      </c>
      <c r="AC15" s="2" t="s">
        <v>39</v>
      </c>
      <c r="AD15" s="435">
        <f>sc_lh</f>
        <v>406</v>
      </c>
      <c r="AE15" s="435"/>
      <c r="AF15" s="6" t="s">
        <v>407</v>
      </c>
      <c r="AG15" s="6"/>
      <c r="AH15" s="6"/>
      <c r="AI15" s="6"/>
      <c r="AJ15" s="6"/>
    </row>
    <row r="16" spans="1:36" ht="9.75" customHeight="1">
      <c r="A16" s="1"/>
      <c r="B16" s="1"/>
      <c r="C16" s="1"/>
      <c r="D16" s="1"/>
      <c r="E16" s="1"/>
      <c r="F16" s="1"/>
      <c r="G16" s="1"/>
      <c r="O16" s="3"/>
      <c r="W16" s="1"/>
      <c r="AB16" s="9" t="s">
        <v>395</v>
      </c>
      <c r="AC16" s="1" t="s">
        <v>39</v>
      </c>
      <c r="AD16" s="333">
        <f>sc_lho</f>
        <v>450</v>
      </c>
      <c r="AE16" s="333"/>
      <c r="AF16" s="2" t="s">
        <v>407</v>
      </c>
      <c r="AG16" s="1"/>
      <c r="AH16" s="1"/>
      <c r="AI16" s="1"/>
      <c r="AJ16" s="1"/>
    </row>
    <row r="17" spans="1:36" ht="9.75" customHeight="1">
      <c r="A17" s="1"/>
      <c r="B17" s="1"/>
      <c r="C17" s="1"/>
      <c r="D17" s="1"/>
      <c r="E17" s="1"/>
      <c r="F17" s="1"/>
      <c r="G17" s="1"/>
      <c r="O17" s="3"/>
      <c r="W17" s="1"/>
      <c r="X17" s="1"/>
      <c r="Y17" s="1"/>
      <c r="Z17" s="1"/>
      <c r="AA17" s="1"/>
      <c r="AB17" s="35" t="s">
        <v>396</v>
      </c>
      <c r="AC17" s="2" t="s">
        <v>39</v>
      </c>
      <c r="AD17" s="435">
        <f>sc_lt2</f>
        <v>32</v>
      </c>
      <c r="AE17" s="435"/>
      <c r="AF17" s="1" t="s">
        <v>407</v>
      </c>
      <c r="AG17" s="1"/>
      <c r="AH17" s="1"/>
      <c r="AI17" s="1"/>
      <c r="AJ17" s="1"/>
    </row>
    <row r="18" spans="1:36" ht="9.75" customHeight="1">
      <c r="A18" s="1"/>
      <c r="B18" s="1"/>
      <c r="C18" s="1"/>
      <c r="D18" s="1"/>
      <c r="E18" s="1"/>
      <c r="F18" s="1"/>
      <c r="G18" s="1"/>
      <c r="O18" s="3"/>
      <c r="W18" s="1"/>
      <c r="X18" s="9" t="s">
        <v>393</v>
      </c>
      <c r="Y18" s="1"/>
      <c r="Z18" s="1"/>
      <c r="AA18" s="1"/>
      <c r="AB18" s="9" t="s">
        <v>397</v>
      </c>
      <c r="AC18" s="1" t="s">
        <v>39</v>
      </c>
      <c r="AD18" s="333">
        <f>sc_sh</f>
        <v>306</v>
      </c>
      <c r="AE18" s="333"/>
      <c r="AF18" s="2" t="s">
        <v>407</v>
      </c>
      <c r="AG18" s="1"/>
      <c r="AH18" s="1"/>
      <c r="AI18" s="1"/>
      <c r="AJ18" s="1"/>
    </row>
    <row r="19" spans="1:36" ht="9.75" customHeight="1">
      <c r="A19" s="1"/>
      <c r="B19" s="1"/>
      <c r="C19" s="1"/>
      <c r="D19" s="1"/>
      <c r="E19" s="1"/>
      <c r="F19" s="1"/>
      <c r="G19" s="1"/>
      <c r="O19" s="3"/>
      <c r="W19" s="1"/>
      <c r="AB19" s="7" t="s">
        <v>398</v>
      </c>
      <c r="AC19" s="6" t="s">
        <v>39</v>
      </c>
      <c r="AD19" s="333">
        <f>sc_sho</f>
        <v>370</v>
      </c>
      <c r="AE19" s="333"/>
      <c r="AF19" s="1" t="s">
        <v>407</v>
      </c>
      <c r="AG19" s="1"/>
      <c r="AH19" s="1"/>
      <c r="AI19" s="1"/>
      <c r="AJ19" s="1"/>
    </row>
    <row r="20" spans="1:36" ht="9.75" customHeight="1">
      <c r="A20" s="6"/>
      <c r="B20" s="6"/>
      <c r="C20" s="6"/>
      <c r="D20" s="6"/>
      <c r="E20" s="6"/>
      <c r="F20" s="6"/>
      <c r="G20" s="6"/>
      <c r="H20" s="3"/>
      <c r="I20" s="3"/>
      <c r="J20" s="3"/>
      <c r="K20" s="3"/>
      <c r="L20" s="3"/>
      <c r="M20" s="3"/>
      <c r="N20" s="3"/>
      <c r="W20" s="6"/>
      <c r="X20" s="6"/>
      <c r="Y20" s="6"/>
      <c r="Z20" s="6"/>
      <c r="AA20" s="6"/>
      <c r="AB20" s="35" t="s">
        <v>399</v>
      </c>
      <c r="AC20" s="2" t="s">
        <v>39</v>
      </c>
      <c r="AD20" s="435">
        <f>sc_st1</f>
        <v>22</v>
      </c>
      <c r="AE20" s="435"/>
      <c r="AF20" s="6" t="s">
        <v>407</v>
      </c>
      <c r="AG20" s="6"/>
      <c r="AH20" s="6"/>
      <c r="AI20" s="6"/>
      <c r="AJ20" s="6"/>
    </row>
    <row r="21" spans="1:36" ht="9.75" customHeight="1">
      <c r="A21" s="1"/>
      <c r="B21" s="1"/>
      <c r="C21" s="1"/>
      <c r="D21" s="1"/>
      <c r="E21" s="1"/>
      <c r="F21" s="1"/>
      <c r="G21" s="1"/>
      <c r="O21" s="3"/>
      <c r="W21" s="1"/>
      <c r="X21" s="9" t="s">
        <v>401</v>
      </c>
      <c r="Y21" s="1"/>
      <c r="Z21" s="1"/>
      <c r="AA21" s="1"/>
      <c r="AB21" s="9" t="s">
        <v>400</v>
      </c>
      <c r="AC21" s="1" t="s">
        <v>39</v>
      </c>
      <c r="AD21" s="333">
        <f>sc_endplt5</f>
        <v>22</v>
      </c>
      <c r="AE21" s="333"/>
      <c r="AF21" s="2" t="s">
        <v>407</v>
      </c>
      <c r="AG21" s="1"/>
      <c r="AH21" s="1"/>
      <c r="AI21" s="1"/>
      <c r="AJ21" s="1"/>
    </row>
    <row r="22" spans="1:36" ht="9.75" customHeight="1">
      <c r="A22" s="1"/>
      <c r="B22" s="1"/>
      <c r="C22" s="1"/>
      <c r="D22" s="1"/>
      <c r="E22" s="1"/>
      <c r="F22" s="1"/>
      <c r="G22" s="1"/>
      <c r="O22" s="3"/>
      <c r="W22" s="1"/>
      <c r="X22" s="7" t="s">
        <v>402</v>
      </c>
      <c r="Y22" s="6"/>
      <c r="Z22" s="6"/>
      <c r="AA22" s="6"/>
      <c r="AB22" s="6"/>
      <c r="AC22" s="6" t="s">
        <v>39</v>
      </c>
      <c r="AD22" s="264">
        <f>sc_vsllgt</f>
        <v>3699</v>
      </c>
      <c r="AE22" s="264"/>
      <c r="AF22" s="1" t="s">
        <v>407</v>
      </c>
      <c r="AG22" s="1"/>
      <c r="AH22" s="1"/>
      <c r="AI22" s="1"/>
      <c r="AJ22" s="1"/>
    </row>
    <row r="23" spans="1:36" ht="9.75" customHeight="1">
      <c r="A23" s="6"/>
      <c r="B23" s="6"/>
      <c r="C23" s="6"/>
      <c r="D23" s="6"/>
      <c r="E23" s="6"/>
      <c r="F23" s="6"/>
      <c r="G23" s="6"/>
      <c r="H23" s="3"/>
      <c r="I23" s="3"/>
      <c r="J23" s="3"/>
      <c r="K23" s="3"/>
      <c r="L23" s="3"/>
      <c r="M23" s="3"/>
      <c r="N23" s="3"/>
      <c r="W23" s="6"/>
      <c r="X23" s="7" t="s">
        <v>403</v>
      </c>
      <c r="Y23" s="6"/>
      <c r="Z23" s="6"/>
      <c r="AA23" s="6"/>
      <c r="AB23" s="6"/>
      <c r="AC23" s="6" t="s">
        <v>39</v>
      </c>
      <c r="AD23" s="264">
        <f>sc_mys</f>
        <v>2294.3614792003386</v>
      </c>
      <c r="AE23" s="264"/>
      <c r="AF23" s="6" t="str">
        <f>upsx(sc_pu)</f>
        <v>kg/cm2</v>
      </c>
      <c r="AG23" s="6"/>
      <c r="AH23" s="6"/>
      <c r="AI23" s="6"/>
      <c r="AJ23" s="6"/>
    </row>
    <row r="24" spans="1:36" ht="9.75" customHeight="1">
      <c r="A24" s="6"/>
      <c r="B24" s="6"/>
      <c r="D24" s="6"/>
      <c r="E24" s="6"/>
      <c r="F24" s="6"/>
      <c r="G24" s="6"/>
      <c r="H24" s="3"/>
      <c r="I24" s="3"/>
      <c r="J24" s="3"/>
      <c r="K24" s="3"/>
      <c r="L24" s="3"/>
      <c r="M24" s="3"/>
      <c r="N24" s="3"/>
      <c r="O24" s="3"/>
      <c r="X24" s="35" t="s">
        <v>92</v>
      </c>
      <c r="AC24" s="2" t="s">
        <v>39</v>
      </c>
      <c r="AD24" s="305">
        <f>sc_mas</f>
        <v>1040.1105372374868</v>
      </c>
      <c r="AE24" s="305"/>
      <c r="AF24" s="6" t="str">
        <f>AF23</f>
        <v>kg/cm2</v>
      </c>
      <c r="AG24" s="6"/>
      <c r="AH24" s="6"/>
      <c r="AI24" s="6"/>
      <c r="AJ24" s="6"/>
    </row>
    <row r="25" spans="1:21" ht="9.75" customHeight="1">
      <c r="A25" s="1"/>
      <c r="B25" s="1"/>
      <c r="C25" s="52" t="s">
        <v>353</v>
      </c>
      <c r="D25" s="1"/>
      <c r="E25" s="1"/>
      <c r="F25" s="1"/>
      <c r="G25" s="1"/>
      <c r="N25" s="1"/>
      <c r="O25" s="1"/>
      <c r="P25" s="1"/>
      <c r="Q25" s="1"/>
      <c r="R25" s="1"/>
      <c r="S25" s="1"/>
      <c r="T25" s="1"/>
      <c r="U25" s="1"/>
    </row>
    <row r="26" spans="1:29" ht="9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AC26" s="3"/>
    </row>
    <row r="27" spans="1:33" ht="9.75" customHeight="1">
      <c r="A27" s="1"/>
      <c r="B27" s="1"/>
      <c r="C27" s="9" t="str">
        <f>plate_ID_tp</f>
        <v>Top / Bottom Plate</v>
      </c>
      <c r="D27" s="1"/>
      <c r="E27" s="1"/>
      <c r="L27" s="1"/>
      <c r="M27" s="1"/>
      <c r="N27" s="1"/>
      <c r="O27" s="1"/>
      <c r="P27" s="1"/>
      <c r="Q27" s="1"/>
      <c r="R27" s="1"/>
      <c r="S27" s="1"/>
      <c r="AC27" s="1"/>
      <c r="AD27" s="1"/>
      <c r="AG27" s="3"/>
    </row>
    <row r="28" spans="1:34" ht="9.75" customHeight="1">
      <c r="A28" s="1"/>
      <c r="B28" s="1"/>
      <c r="C28" s="1"/>
      <c r="D28" s="417" t="s">
        <v>322</v>
      </c>
      <c r="E28" s="417"/>
      <c r="F28" s="409" t="s">
        <v>318</v>
      </c>
      <c r="G28" s="419" t="s">
        <v>324</v>
      </c>
      <c r="H28" s="419"/>
      <c r="I28" s="419"/>
      <c r="J28" s="419"/>
      <c r="K28" s="411" t="s">
        <v>318</v>
      </c>
      <c r="N28" s="239">
        <f>AD14</f>
        <v>10</v>
      </c>
      <c r="O28" s="239"/>
      <c r="P28" s="19" t="s">
        <v>320</v>
      </c>
      <c r="Q28" s="418">
        <f>AD15</f>
        <v>406</v>
      </c>
      <c r="R28" s="239"/>
      <c r="S28" s="19" t="s">
        <v>320</v>
      </c>
      <c r="T28" s="418">
        <f>AD18</f>
        <v>306</v>
      </c>
      <c r="U28" s="239"/>
      <c r="AC28" s="424" t="s">
        <v>46</v>
      </c>
      <c r="AD28" s="423" t="str">
        <f>IF(AD14&gt;=0,"***",N28*Q28*T28/(2*(M29*P29+S29*V29)))</f>
        <v>***</v>
      </c>
      <c r="AE28" s="423"/>
      <c r="AF28" s="423"/>
      <c r="AG28" s="438" t="str">
        <f>upsx(sc_pu)</f>
        <v>kg/cm2</v>
      </c>
      <c r="AH28" s="438"/>
    </row>
    <row r="29" spans="1:36" ht="9.75" customHeight="1">
      <c r="A29" s="6"/>
      <c r="B29" s="6"/>
      <c r="C29" s="6"/>
      <c r="D29" s="417"/>
      <c r="E29" s="417"/>
      <c r="F29" s="409"/>
      <c r="G29" s="21" t="s">
        <v>323</v>
      </c>
      <c r="H29" s="21"/>
      <c r="I29" s="21"/>
      <c r="J29" s="21"/>
      <c r="K29" s="411"/>
      <c r="L29" s="21" t="s">
        <v>325</v>
      </c>
      <c r="M29" s="446">
        <f>AD20</f>
        <v>22</v>
      </c>
      <c r="N29" s="256"/>
      <c r="O29" s="20" t="s">
        <v>320</v>
      </c>
      <c r="P29" s="446">
        <f>T28</f>
        <v>306</v>
      </c>
      <c r="Q29" s="256"/>
      <c r="R29" s="20" t="s">
        <v>55</v>
      </c>
      <c r="S29" s="446">
        <f>AD17</f>
        <v>32</v>
      </c>
      <c r="T29" s="256"/>
      <c r="U29" s="20" t="s">
        <v>320</v>
      </c>
      <c r="V29" s="446">
        <f>Q28</f>
        <v>406</v>
      </c>
      <c r="W29" s="256"/>
      <c r="X29" s="20" t="s">
        <v>79</v>
      </c>
      <c r="AC29" s="424"/>
      <c r="AD29" s="423"/>
      <c r="AE29" s="423"/>
      <c r="AF29" s="423"/>
      <c r="AG29" s="438"/>
      <c r="AH29" s="438"/>
      <c r="AJ29" s="6"/>
    </row>
    <row r="30" spans="1:34" ht="9.75" customHeight="1">
      <c r="A30" s="1"/>
      <c r="B30" s="1"/>
      <c r="C30" s="1"/>
      <c r="D30" s="24" t="s">
        <v>326</v>
      </c>
      <c r="E30" s="1"/>
      <c r="F30" s="1" t="s">
        <v>318</v>
      </c>
      <c r="G30" s="1" t="s">
        <v>327</v>
      </c>
      <c r="K30" s="8" t="s">
        <v>46</v>
      </c>
      <c r="L30" s="239">
        <f>N28</f>
        <v>10</v>
      </c>
      <c r="M30" s="239"/>
      <c r="N30" s="19" t="s">
        <v>320</v>
      </c>
      <c r="O30" s="418">
        <f>Q28</f>
        <v>406</v>
      </c>
      <c r="P30" s="239"/>
      <c r="Q30" s="19" t="s">
        <v>71</v>
      </c>
      <c r="R30" s="19">
        <v>2</v>
      </c>
      <c r="S30" s="19" t="s">
        <v>71</v>
      </c>
      <c r="T30" s="418">
        <f>M29</f>
        <v>22</v>
      </c>
      <c r="U30" s="239"/>
      <c r="AC30" s="8" t="s">
        <v>46</v>
      </c>
      <c r="AD30" s="412" t="str">
        <f>IF(AD14&gt;=0,"***",L30*O30/R30/T30)</f>
        <v>***</v>
      </c>
      <c r="AE30" s="412"/>
      <c r="AF30" s="412"/>
      <c r="AG30" s="3" t="str">
        <f>AG28</f>
        <v>kg/cm2</v>
      </c>
      <c r="AH30" s="3"/>
    </row>
    <row r="31" spans="1:34" ht="9.75" customHeight="1">
      <c r="A31" s="6"/>
      <c r="B31" s="6"/>
      <c r="C31" s="6"/>
      <c r="D31" s="417" t="s">
        <v>328</v>
      </c>
      <c r="E31" s="417"/>
      <c r="F31" s="409" t="s">
        <v>318</v>
      </c>
      <c r="G31" s="443" t="s">
        <v>329</v>
      </c>
      <c r="H31" s="443"/>
      <c r="I31" s="443"/>
      <c r="J31" s="411" t="s">
        <v>78</v>
      </c>
      <c r="K31" s="19" t="s">
        <v>33</v>
      </c>
      <c r="L31" s="411" t="s">
        <v>332</v>
      </c>
      <c r="M31" s="411" t="s">
        <v>333</v>
      </c>
      <c r="N31" s="411" t="s">
        <v>318</v>
      </c>
      <c r="O31" s="239">
        <f>PI()</f>
        <v>3.141592653589793</v>
      </c>
      <c r="P31" s="239"/>
      <c r="Q31" s="2" t="s">
        <v>54</v>
      </c>
      <c r="R31" s="8" t="s">
        <v>18</v>
      </c>
      <c r="S31" s="233">
        <f>moetema(mindex(sc_shellm,2),sc_dt,sc_tu,sc_pu)</f>
        <v>1999529.8844937691</v>
      </c>
      <c r="T31" s="233"/>
      <c r="V31" s="411" t="s">
        <v>78</v>
      </c>
      <c r="W31" s="418">
        <f>T30</f>
        <v>22</v>
      </c>
      <c r="X31" s="239"/>
      <c r="Y31" s="411" t="s">
        <v>332</v>
      </c>
      <c r="Z31" s="411" t="s">
        <v>18</v>
      </c>
      <c r="AA31" s="436">
        <f>cfbuckling(Q28,T28,1)</f>
        <v>6.353457708713228</v>
      </c>
      <c r="AB31" s="436"/>
      <c r="AC31" s="424" t="s">
        <v>46</v>
      </c>
      <c r="AD31" s="423" t="str">
        <f>IF(AD14&gt;=0,"***",O31^2*S31/(O32*(Q32-S32^2))*(W31/W32)^2*AA31)</f>
        <v>***</v>
      </c>
      <c r="AE31" s="423"/>
      <c r="AF31" s="423"/>
      <c r="AG31" s="438" t="str">
        <f>AG28</f>
        <v>kg/cm2</v>
      </c>
      <c r="AH31" s="438"/>
    </row>
    <row r="32" spans="1:34" ht="9.75" customHeight="1">
      <c r="A32" s="1"/>
      <c r="B32" s="1"/>
      <c r="C32" s="1"/>
      <c r="D32" s="417"/>
      <c r="E32" s="417"/>
      <c r="F32" s="409"/>
      <c r="G32" s="256" t="s">
        <v>330</v>
      </c>
      <c r="H32" s="256"/>
      <c r="I32" s="256"/>
      <c r="J32" s="411"/>
      <c r="K32" s="20" t="s">
        <v>331</v>
      </c>
      <c r="L32" s="411"/>
      <c r="M32" s="411"/>
      <c r="N32" s="411"/>
      <c r="O32" s="10">
        <v>12</v>
      </c>
      <c r="P32" s="20" t="s">
        <v>78</v>
      </c>
      <c r="Q32" s="20">
        <v>1</v>
      </c>
      <c r="R32" s="20" t="s">
        <v>73</v>
      </c>
      <c r="S32" s="439">
        <v>0.3</v>
      </c>
      <c r="T32" s="439"/>
      <c r="U32" s="10" t="s">
        <v>334</v>
      </c>
      <c r="V32" s="411"/>
      <c r="W32" s="446">
        <f>P29</f>
        <v>306</v>
      </c>
      <c r="X32" s="256"/>
      <c r="Y32" s="411"/>
      <c r="Z32" s="411"/>
      <c r="AA32" s="436"/>
      <c r="AB32" s="436"/>
      <c r="AC32" s="424"/>
      <c r="AD32" s="423"/>
      <c r="AE32" s="423"/>
      <c r="AF32" s="423"/>
      <c r="AG32" s="438"/>
      <c r="AH32" s="438"/>
    </row>
    <row r="33" spans="1:34" ht="9.75" customHeight="1">
      <c r="A33" s="1"/>
      <c r="B33" s="1"/>
      <c r="C33" s="1"/>
      <c r="D33" s="24" t="s">
        <v>335</v>
      </c>
      <c r="E33" s="1"/>
      <c r="F33" s="1" t="s">
        <v>46</v>
      </c>
      <c r="G33" s="1" t="s">
        <v>336</v>
      </c>
      <c r="L33" s="8" t="s">
        <v>46</v>
      </c>
      <c r="M33" s="325">
        <f>AD23</f>
        <v>2294.3614792003386</v>
      </c>
      <c r="N33" s="233"/>
      <c r="O33" s="19" t="s">
        <v>73</v>
      </c>
      <c r="P33" s="239">
        <f>M33</f>
        <v>2294.3614792003386</v>
      </c>
      <c r="Q33" s="239"/>
      <c r="R33" s="2" t="s">
        <v>342</v>
      </c>
      <c r="S33" s="19" t="s">
        <v>343</v>
      </c>
      <c r="T33" s="318" t="str">
        <f>AD31</f>
        <v>***</v>
      </c>
      <c r="U33" s="239"/>
      <c r="V33" s="239"/>
      <c r="AC33" s="8" t="s">
        <v>46</v>
      </c>
      <c r="AD33" s="412" t="str">
        <f>IF(AD14&gt;=0,"***",M33-P33^2/4/T33)</f>
        <v>***</v>
      </c>
      <c r="AE33" s="412"/>
      <c r="AF33" s="412"/>
      <c r="AG33" s="3" t="str">
        <f>AG30</f>
        <v>kg/cm2</v>
      </c>
      <c r="AH33" s="3"/>
    </row>
    <row r="34" spans="1:34" ht="9.75" customHeight="1">
      <c r="A34" s="1"/>
      <c r="B34" s="1"/>
      <c r="C34" s="1"/>
      <c r="D34" s="417" t="s">
        <v>337</v>
      </c>
      <c r="E34" s="417"/>
      <c r="F34" s="409" t="s">
        <v>318</v>
      </c>
      <c r="G34" s="443" t="s">
        <v>329</v>
      </c>
      <c r="H34" s="443"/>
      <c r="I34" s="443"/>
      <c r="J34" s="411" t="s">
        <v>78</v>
      </c>
      <c r="K34" s="19" t="s">
        <v>33</v>
      </c>
      <c r="L34" s="411" t="s">
        <v>332</v>
      </c>
      <c r="M34" s="411" t="s">
        <v>339</v>
      </c>
      <c r="N34" s="411" t="s">
        <v>318</v>
      </c>
      <c r="O34" s="239">
        <f>PI()</f>
        <v>3.141592653589793</v>
      </c>
      <c r="P34" s="239"/>
      <c r="Q34" s="2" t="s">
        <v>54</v>
      </c>
      <c r="R34" s="8" t="s">
        <v>18</v>
      </c>
      <c r="S34" s="233">
        <f>S31</f>
        <v>1999529.8844937691</v>
      </c>
      <c r="T34" s="233"/>
      <c r="V34" s="411" t="s">
        <v>78</v>
      </c>
      <c r="W34" s="418">
        <f>W31</f>
        <v>22</v>
      </c>
      <c r="X34" s="239"/>
      <c r="Y34" s="411" t="s">
        <v>332</v>
      </c>
      <c r="Z34" s="411" t="s">
        <v>18</v>
      </c>
      <c r="AA34" s="436">
        <f>cfbuckling(Q28,T28,2)</f>
        <v>7.976333306118145</v>
      </c>
      <c r="AB34" s="436"/>
      <c r="AC34" s="424" t="s">
        <v>46</v>
      </c>
      <c r="AD34" s="423" t="str">
        <f>IF(AD14&gt;=0,"***",O34^2*S34/(O35*(Q35-S35^2))*(W34/W35)^2*AA34)</f>
        <v>***</v>
      </c>
      <c r="AE34" s="423"/>
      <c r="AF34" s="423"/>
      <c r="AG34" s="438" t="str">
        <f>AG28</f>
        <v>kg/cm2</v>
      </c>
      <c r="AH34" s="438"/>
    </row>
    <row r="35" spans="1:34" ht="9.75" customHeight="1">
      <c r="A35" s="6"/>
      <c r="B35" s="6"/>
      <c r="C35" s="6"/>
      <c r="D35" s="417"/>
      <c r="E35" s="417"/>
      <c r="F35" s="409"/>
      <c r="G35" s="256" t="s">
        <v>330</v>
      </c>
      <c r="H35" s="256"/>
      <c r="I35" s="256"/>
      <c r="J35" s="411"/>
      <c r="K35" s="20" t="s">
        <v>338</v>
      </c>
      <c r="L35" s="411"/>
      <c r="M35" s="411"/>
      <c r="N35" s="411"/>
      <c r="O35" s="10">
        <v>12</v>
      </c>
      <c r="P35" s="20" t="s">
        <v>78</v>
      </c>
      <c r="Q35" s="20">
        <v>1</v>
      </c>
      <c r="R35" s="20" t="s">
        <v>73</v>
      </c>
      <c r="S35" s="256">
        <f>S32</f>
        <v>0.3</v>
      </c>
      <c r="T35" s="256"/>
      <c r="U35" s="10" t="s">
        <v>334</v>
      </c>
      <c r="V35" s="411"/>
      <c r="W35" s="446">
        <f>IF(AD18/AD15&gt;=0.258,AD22,AD18)</f>
        <v>3699</v>
      </c>
      <c r="X35" s="256"/>
      <c r="Y35" s="411"/>
      <c r="Z35" s="411"/>
      <c r="AA35" s="436"/>
      <c r="AB35" s="436"/>
      <c r="AC35" s="424"/>
      <c r="AD35" s="423"/>
      <c r="AE35" s="423"/>
      <c r="AF35" s="423"/>
      <c r="AG35" s="438"/>
      <c r="AH35" s="438"/>
    </row>
    <row r="36" spans="1:34" ht="9.75" customHeight="1">
      <c r="A36" s="1"/>
      <c r="B36" s="1"/>
      <c r="C36" s="1"/>
      <c r="D36" s="24" t="s">
        <v>340</v>
      </c>
      <c r="E36" s="1"/>
      <c r="F36" s="1" t="s">
        <v>46</v>
      </c>
      <c r="G36" s="1" t="s">
        <v>341</v>
      </c>
      <c r="L36" s="8" t="s">
        <v>46</v>
      </c>
      <c r="M36" s="233">
        <f>M33</f>
        <v>2294.3614792003386</v>
      </c>
      <c r="N36" s="233"/>
      <c r="O36" s="19" t="s">
        <v>73</v>
      </c>
      <c r="P36" s="239">
        <f>M36</f>
        <v>2294.3614792003386</v>
      </c>
      <c r="Q36" s="239"/>
      <c r="R36" s="2" t="s">
        <v>342</v>
      </c>
      <c r="S36" s="19" t="s">
        <v>343</v>
      </c>
      <c r="T36" s="318" t="str">
        <f>AD34</f>
        <v>***</v>
      </c>
      <c r="U36" s="239"/>
      <c r="V36" s="239"/>
      <c r="AC36" s="8" t="s">
        <v>46</v>
      </c>
      <c r="AD36" s="412" t="str">
        <f>IF(AD14&gt;=0,"***",M36-P36^2/4/T36)</f>
        <v>***</v>
      </c>
      <c r="AE36" s="412"/>
      <c r="AF36" s="412"/>
      <c r="AG36" s="3" t="str">
        <f>AG30</f>
        <v>kg/cm2</v>
      </c>
      <c r="AH36" s="3"/>
    </row>
    <row r="37" spans="1:29" ht="9.75" customHeight="1">
      <c r="A37" s="1"/>
      <c r="B37" s="1"/>
      <c r="C37" s="1"/>
      <c r="D37" s="52" t="s">
        <v>382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AC37" s="3"/>
    </row>
    <row r="38" spans="1:36" ht="9.75" customHeight="1">
      <c r="A38" s="1"/>
      <c r="B38" s="1"/>
      <c r="C38" s="1"/>
      <c r="D38" s="288" t="str">
        <f>"2 "&amp;D28</f>
        <v>2 SmA</v>
      </c>
      <c r="E38" s="288"/>
      <c r="F38" s="411" t="s">
        <v>55</v>
      </c>
      <c r="G38" s="416" t="str">
        <f>"2 "&amp;D30</f>
        <v>2 SmB</v>
      </c>
      <c r="H38" s="416"/>
      <c r="I38" s="441" t="s">
        <v>383</v>
      </c>
      <c r="J38" s="436">
        <v>1</v>
      </c>
      <c r="K38" s="436"/>
      <c r="L38" s="414" t="s">
        <v>172</v>
      </c>
      <c r="M38" s="19" t="s">
        <v>163</v>
      </c>
      <c r="N38" s="325" t="str">
        <f>IF(AD14&gt;=0,"***",ABS(AD28))</f>
        <v>***</v>
      </c>
      <c r="O38" s="233"/>
      <c r="P38" s="411" t="s">
        <v>55</v>
      </c>
      <c r="Q38" s="19" t="s">
        <v>163</v>
      </c>
      <c r="R38" s="325" t="str">
        <f>IF(AD14&gt;=0,"***",ABS(AD30))</f>
        <v>***</v>
      </c>
      <c r="S38" s="233"/>
      <c r="T38" s="411" t="s">
        <v>46</v>
      </c>
      <c r="U38" s="440" t="str">
        <f>IF(AD14&gt;=0,"***",2*N38/M39)</f>
        <v>***</v>
      </c>
      <c r="V38" s="440"/>
      <c r="W38" s="411" t="s">
        <v>55</v>
      </c>
      <c r="X38" s="440" t="str">
        <f>IF(AD14&gt;=0,"***",2*R38/Q39)</f>
        <v>***</v>
      </c>
      <c r="Y38" s="440"/>
      <c r="Z38" s="411" t="s">
        <v>46</v>
      </c>
      <c r="AA38" s="440" t="str">
        <f>IF(AD14&gt;=0,"***",U38+X38)</f>
        <v>***</v>
      </c>
      <c r="AB38" s="440"/>
      <c r="AC38" s="442" t="str">
        <f>IF(AA38&lt;AD38,"&lt;",IF(AA38=AD38,"=","&gt;"))</f>
        <v>&gt;</v>
      </c>
      <c r="AD38" s="436">
        <f>J38</f>
        <v>1</v>
      </c>
      <c r="AE38" s="436"/>
      <c r="AF38" s="437" t="str">
        <f>IF(AD14&gt;=0,"***",IF(AA38&lt;=AD38,"OK !","Not Acceptable !"))</f>
        <v>***</v>
      </c>
      <c r="AG38" s="437"/>
      <c r="AH38" s="437"/>
      <c r="AI38" s="437"/>
      <c r="AJ38" s="437"/>
    </row>
    <row r="39" spans="1:36" ht="9.75" customHeight="1">
      <c r="A39" s="1"/>
      <c r="B39" s="1"/>
      <c r="C39" s="1"/>
      <c r="D39" s="439" t="s">
        <v>386</v>
      </c>
      <c r="E39" s="439"/>
      <c r="F39" s="411"/>
      <c r="G39" s="439" t="s">
        <v>387</v>
      </c>
      <c r="H39" s="439"/>
      <c r="I39" s="411"/>
      <c r="J39" s="436"/>
      <c r="K39" s="436"/>
      <c r="L39" s="414"/>
      <c r="M39" s="352" t="str">
        <f>IF(AD14&gt;=0,"***",ABS(IF(AD31&lt;=M33/2,AD31,AD33)))</f>
        <v>***</v>
      </c>
      <c r="N39" s="352"/>
      <c r="O39" s="352"/>
      <c r="P39" s="411"/>
      <c r="Q39" s="352" t="str">
        <f>IF(AD14&gt;=0,"***",ABS(IF(AD34&lt;=M33/2,AD34,AD36)))</f>
        <v>***</v>
      </c>
      <c r="R39" s="352"/>
      <c r="S39" s="352"/>
      <c r="T39" s="411"/>
      <c r="U39" s="440"/>
      <c r="V39" s="440"/>
      <c r="W39" s="411"/>
      <c r="X39" s="440"/>
      <c r="Y39" s="440"/>
      <c r="Z39" s="411"/>
      <c r="AA39" s="440"/>
      <c r="AB39" s="440"/>
      <c r="AC39" s="442"/>
      <c r="AD39" s="436"/>
      <c r="AE39" s="436"/>
      <c r="AF39" s="437"/>
      <c r="AG39" s="437"/>
      <c r="AH39" s="437"/>
      <c r="AI39" s="437"/>
      <c r="AJ39" s="437"/>
    </row>
    <row r="40" spans="1:34" ht="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AH40" s="3"/>
    </row>
    <row r="41" spans="1:34" ht="9.75" customHeight="1">
      <c r="A41" s="1"/>
      <c r="B41" s="1"/>
      <c r="C41" s="9" t="str">
        <f>plate_ID_sp</f>
        <v>Side Plate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AH41" s="3"/>
    </row>
    <row r="42" spans="1:34" ht="9.75" customHeight="1">
      <c r="A42" s="1"/>
      <c r="B42" s="1"/>
      <c r="C42" s="1"/>
      <c r="D42" s="417" t="s">
        <v>322</v>
      </c>
      <c r="E42" s="417"/>
      <c r="F42" s="409" t="s">
        <v>318</v>
      </c>
      <c r="G42" s="419" t="s">
        <v>324</v>
      </c>
      <c r="H42" s="419"/>
      <c r="I42" s="419"/>
      <c r="J42" s="419"/>
      <c r="K42" s="411" t="s">
        <v>318</v>
      </c>
      <c r="N42" s="239">
        <f>AD14</f>
        <v>10</v>
      </c>
      <c r="O42" s="239"/>
      <c r="P42" s="19" t="s">
        <v>320</v>
      </c>
      <c r="Q42" s="418">
        <f>AD15</f>
        <v>406</v>
      </c>
      <c r="R42" s="239"/>
      <c r="S42" s="19" t="s">
        <v>320</v>
      </c>
      <c r="T42" s="418">
        <f>AD18</f>
        <v>306</v>
      </c>
      <c r="U42" s="239"/>
      <c r="AC42" s="424" t="s">
        <v>46</v>
      </c>
      <c r="AD42" s="423" t="str">
        <f>IF(AD14&gt;=0,"***",N42*Q42*T42/(2*(M43*P43+S43*V43)))</f>
        <v>***</v>
      </c>
      <c r="AE42" s="423"/>
      <c r="AF42" s="423"/>
      <c r="AG42" s="438" t="str">
        <f>AG28</f>
        <v>kg/cm2</v>
      </c>
      <c r="AH42" s="438"/>
    </row>
    <row r="43" spans="1:36" ht="9.75" customHeight="1">
      <c r="A43" s="6"/>
      <c r="B43" s="6"/>
      <c r="C43" s="6"/>
      <c r="D43" s="417"/>
      <c r="E43" s="417"/>
      <c r="F43" s="409"/>
      <c r="G43" s="21" t="s">
        <v>323</v>
      </c>
      <c r="H43" s="21"/>
      <c r="I43" s="21"/>
      <c r="J43" s="21"/>
      <c r="K43" s="411"/>
      <c r="L43" s="21" t="s">
        <v>325</v>
      </c>
      <c r="M43" s="446">
        <f>AD20</f>
        <v>22</v>
      </c>
      <c r="N43" s="256"/>
      <c r="O43" s="20" t="s">
        <v>320</v>
      </c>
      <c r="P43" s="446">
        <f>T42</f>
        <v>306</v>
      </c>
      <c r="Q43" s="256"/>
      <c r="R43" s="20" t="s">
        <v>55</v>
      </c>
      <c r="S43" s="446">
        <f>AD17</f>
        <v>32</v>
      </c>
      <c r="T43" s="256"/>
      <c r="U43" s="20" t="s">
        <v>320</v>
      </c>
      <c r="V43" s="446">
        <f>Q42</f>
        <v>406</v>
      </c>
      <c r="W43" s="256"/>
      <c r="X43" s="20" t="s">
        <v>79</v>
      </c>
      <c r="AC43" s="424"/>
      <c r="AD43" s="423"/>
      <c r="AE43" s="423"/>
      <c r="AF43" s="423"/>
      <c r="AG43" s="438"/>
      <c r="AH43" s="438"/>
      <c r="AJ43" s="6"/>
    </row>
    <row r="44" spans="1:34" ht="9.75" customHeight="1">
      <c r="A44" s="1"/>
      <c r="B44" s="1"/>
      <c r="C44" s="1"/>
      <c r="D44" s="24" t="s">
        <v>326</v>
      </c>
      <c r="E44" s="1"/>
      <c r="F44" s="1" t="s">
        <v>318</v>
      </c>
      <c r="G44" s="1" t="s">
        <v>344</v>
      </c>
      <c r="K44" s="8" t="s">
        <v>46</v>
      </c>
      <c r="L44" s="239">
        <f>N42</f>
        <v>10</v>
      </c>
      <c r="M44" s="239"/>
      <c r="N44" s="19" t="s">
        <v>320</v>
      </c>
      <c r="O44" s="418">
        <f>T42</f>
        <v>306</v>
      </c>
      <c r="P44" s="239"/>
      <c r="Q44" s="19" t="s">
        <v>71</v>
      </c>
      <c r="R44" s="19">
        <v>2</v>
      </c>
      <c r="S44" s="19" t="s">
        <v>71</v>
      </c>
      <c r="T44" s="418">
        <f>S43</f>
        <v>32</v>
      </c>
      <c r="U44" s="239"/>
      <c r="AC44" s="8" t="s">
        <v>46</v>
      </c>
      <c r="AD44" s="412" t="str">
        <f>IF(AD14&gt;=0,"***",L44*O44/R44/T44)</f>
        <v>***</v>
      </c>
      <c r="AE44" s="412"/>
      <c r="AF44" s="412"/>
      <c r="AG44" s="3" t="str">
        <f>AG30</f>
        <v>kg/cm2</v>
      </c>
      <c r="AH44" s="3"/>
    </row>
    <row r="45" spans="1:34" ht="9.75" customHeight="1">
      <c r="A45" s="6"/>
      <c r="B45" s="6"/>
      <c r="C45" s="6"/>
      <c r="D45" s="417" t="s">
        <v>328</v>
      </c>
      <c r="E45" s="417"/>
      <c r="F45" s="409" t="s">
        <v>318</v>
      </c>
      <c r="G45" s="443" t="s">
        <v>329</v>
      </c>
      <c r="H45" s="443"/>
      <c r="I45" s="443"/>
      <c r="J45" s="411" t="s">
        <v>78</v>
      </c>
      <c r="K45" s="19" t="s">
        <v>31</v>
      </c>
      <c r="L45" s="411" t="s">
        <v>332</v>
      </c>
      <c r="M45" s="411" t="s">
        <v>333</v>
      </c>
      <c r="N45" s="411" t="s">
        <v>318</v>
      </c>
      <c r="O45" s="239">
        <f>PI()</f>
        <v>3.141592653589793</v>
      </c>
      <c r="P45" s="239"/>
      <c r="Q45" s="2" t="s">
        <v>54</v>
      </c>
      <c r="R45" s="8" t="s">
        <v>18</v>
      </c>
      <c r="S45" s="233" t="str">
        <f>IF(AD14&gt;=0,"***",moetema(mindex(sc_shellm,2),sc_dt,sc_tu,sc_pu))</f>
        <v>***</v>
      </c>
      <c r="T45" s="233"/>
      <c r="V45" s="411" t="s">
        <v>78</v>
      </c>
      <c r="W45" s="418">
        <f>T44</f>
        <v>32</v>
      </c>
      <c r="X45" s="239"/>
      <c r="Y45" s="411" t="s">
        <v>332</v>
      </c>
      <c r="Z45" s="411" t="s">
        <v>18</v>
      </c>
      <c r="AA45" s="436">
        <f>AA31</f>
        <v>6.353457708713228</v>
      </c>
      <c r="AB45" s="411"/>
      <c r="AC45" s="424" t="s">
        <v>46</v>
      </c>
      <c r="AD45" s="423" t="str">
        <f>IF(AD14&gt;=0,"***",O45^2*S45/(O46*(Q46-S46^2))*(W45/W46)^2*AA45)</f>
        <v>***</v>
      </c>
      <c r="AE45" s="423"/>
      <c r="AF45" s="423"/>
      <c r="AG45" s="438" t="str">
        <f>AG42</f>
        <v>kg/cm2</v>
      </c>
      <c r="AH45" s="438"/>
    </row>
    <row r="46" spans="1:34" ht="9.75" customHeight="1">
      <c r="A46" s="1"/>
      <c r="B46" s="1"/>
      <c r="C46" s="1"/>
      <c r="D46" s="417"/>
      <c r="E46" s="417"/>
      <c r="F46" s="409"/>
      <c r="G46" s="256" t="s">
        <v>330</v>
      </c>
      <c r="H46" s="256"/>
      <c r="I46" s="256"/>
      <c r="J46" s="411"/>
      <c r="K46" s="20" t="s">
        <v>345</v>
      </c>
      <c r="L46" s="411"/>
      <c r="M46" s="411"/>
      <c r="N46" s="411"/>
      <c r="O46" s="10">
        <v>12</v>
      </c>
      <c r="P46" s="20" t="s">
        <v>78</v>
      </c>
      <c r="Q46" s="20">
        <v>1</v>
      </c>
      <c r="R46" s="20" t="s">
        <v>73</v>
      </c>
      <c r="S46" s="256">
        <f>S32</f>
        <v>0.3</v>
      </c>
      <c r="T46" s="256"/>
      <c r="U46" s="10" t="s">
        <v>334</v>
      </c>
      <c r="V46" s="411"/>
      <c r="W46" s="446">
        <f>V43</f>
        <v>406</v>
      </c>
      <c r="X46" s="256"/>
      <c r="Y46" s="411"/>
      <c r="Z46" s="411"/>
      <c r="AA46" s="411"/>
      <c r="AB46" s="411"/>
      <c r="AC46" s="424"/>
      <c r="AD46" s="423"/>
      <c r="AE46" s="423"/>
      <c r="AF46" s="423"/>
      <c r="AG46" s="438"/>
      <c r="AH46" s="438"/>
    </row>
    <row r="47" spans="1:34" ht="9.75" customHeight="1">
      <c r="A47" s="1"/>
      <c r="B47" s="1"/>
      <c r="C47" s="1"/>
      <c r="D47" s="24" t="s">
        <v>335</v>
      </c>
      <c r="E47" s="1"/>
      <c r="F47" s="1" t="s">
        <v>46</v>
      </c>
      <c r="G47" s="1" t="s">
        <v>336</v>
      </c>
      <c r="L47" s="8" t="s">
        <v>46</v>
      </c>
      <c r="M47" s="325">
        <f>AD23</f>
        <v>2294.3614792003386</v>
      </c>
      <c r="N47" s="233"/>
      <c r="O47" s="19" t="s">
        <v>73</v>
      </c>
      <c r="P47" s="318">
        <f>M47</f>
        <v>2294.3614792003386</v>
      </c>
      <c r="Q47" s="239"/>
      <c r="R47" s="2" t="s">
        <v>342</v>
      </c>
      <c r="S47" s="19" t="s">
        <v>343</v>
      </c>
      <c r="T47" s="318" t="str">
        <f>AD45</f>
        <v>***</v>
      </c>
      <c r="U47" s="239"/>
      <c r="V47" s="239"/>
      <c r="AC47" s="8" t="s">
        <v>46</v>
      </c>
      <c r="AD47" s="412" t="str">
        <f>IF(AD14&gt;=0,"***",M47-P47^2/4/T47)</f>
        <v>***</v>
      </c>
      <c r="AE47" s="412"/>
      <c r="AF47" s="412"/>
      <c r="AG47" s="3" t="str">
        <f>AG45</f>
        <v>kg/cm2</v>
      </c>
      <c r="AH47" s="3"/>
    </row>
    <row r="48" spans="1:34" ht="9.75" customHeight="1">
      <c r="A48" s="1"/>
      <c r="B48" s="1"/>
      <c r="C48" s="1"/>
      <c r="D48" s="417" t="s">
        <v>337</v>
      </c>
      <c r="E48" s="417"/>
      <c r="F48" s="409" t="s">
        <v>318</v>
      </c>
      <c r="G48" s="443" t="s">
        <v>329</v>
      </c>
      <c r="H48" s="443"/>
      <c r="I48" s="443"/>
      <c r="J48" s="411" t="s">
        <v>78</v>
      </c>
      <c r="K48" s="19" t="s">
        <v>31</v>
      </c>
      <c r="L48" s="411" t="s">
        <v>332</v>
      </c>
      <c r="M48" s="411" t="s">
        <v>339</v>
      </c>
      <c r="N48" s="411" t="s">
        <v>318</v>
      </c>
      <c r="O48" s="239">
        <f>PI()</f>
        <v>3.141592653589793</v>
      </c>
      <c r="P48" s="239"/>
      <c r="Q48" s="2" t="s">
        <v>54</v>
      </c>
      <c r="R48" s="8" t="s">
        <v>18</v>
      </c>
      <c r="S48" s="233" t="str">
        <f>IF(AD14&gt;=0,"***",S45)</f>
        <v>***</v>
      </c>
      <c r="T48" s="233"/>
      <c r="V48" s="411" t="s">
        <v>78</v>
      </c>
      <c r="W48" s="418">
        <f>W45</f>
        <v>32</v>
      </c>
      <c r="X48" s="239"/>
      <c r="Y48" s="411" t="s">
        <v>332</v>
      </c>
      <c r="Z48" s="411" t="s">
        <v>18</v>
      </c>
      <c r="AA48" s="436">
        <f>AA34</f>
        <v>7.976333306118145</v>
      </c>
      <c r="AB48" s="411"/>
      <c r="AC48" s="424" t="s">
        <v>46</v>
      </c>
      <c r="AD48" s="423" t="str">
        <f>IF(AD14&gt;=0,"***",O48^2*S48/(O49*(Q49-S49^2))*(W48/W49)^2*AA48)</f>
        <v>***</v>
      </c>
      <c r="AE48" s="423"/>
      <c r="AF48" s="423"/>
      <c r="AG48" s="438" t="str">
        <f>AG42</f>
        <v>kg/cm2</v>
      </c>
      <c r="AH48" s="438"/>
    </row>
    <row r="49" spans="1:34" ht="9.75" customHeight="1">
      <c r="A49" s="6"/>
      <c r="B49" s="6"/>
      <c r="C49" s="6"/>
      <c r="D49" s="417"/>
      <c r="E49" s="417"/>
      <c r="F49" s="409"/>
      <c r="G49" s="256" t="s">
        <v>330</v>
      </c>
      <c r="H49" s="256"/>
      <c r="I49" s="256"/>
      <c r="J49" s="411"/>
      <c r="K49" s="20" t="s">
        <v>338</v>
      </c>
      <c r="L49" s="411"/>
      <c r="M49" s="411"/>
      <c r="N49" s="411"/>
      <c r="O49" s="10">
        <v>12</v>
      </c>
      <c r="P49" s="20" t="s">
        <v>78</v>
      </c>
      <c r="Q49" s="20">
        <v>1</v>
      </c>
      <c r="R49" s="20" t="s">
        <v>73</v>
      </c>
      <c r="S49" s="256">
        <f>S46</f>
        <v>0.3</v>
      </c>
      <c r="T49" s="256"/>
      <c r="U49" s="10" t="s">
        <v>334</v>
      </c>
      <c r="V49" s="411"/>
      <c r="W49" s="446">
        <f>IF(AD18/AD15&gt;=0.258,AD22,AD18)</f>
        <v>3699</v>
      </c>
      <c r="X49" s="256"/>
      <c r="Y49" s="411"/>
      <c r="Z49" s="411"/>
      <c r="AA49" s="411"/>
      <c r="AB49" s="411"/>
      <c r="AC49" s="424"/>
      <c r="AD49" s="423"/>
      <c r="AE49" s="423"/>
      <c r="AF49" s="423"/>
      <c r="AG49" s="438"/>
      <c r="AH49" s="438"/>
    </row>
    <row r="50" spans="1:34" ht="9.75" customHeight="1">
      <c r="A50" s="1"/>
      <c r="B50" s="1"/>
      <c r="C50" s="1"/>
      <c r="D50" s="24" t="s">
        <v>340</v>
      </c>
      <c r="E50" s="1"/>
      <c r="F50" s="1" t="s">
        <v>46</v>
      </c>
      <c r="G50" s="1" t="s">
        <v>341</v>
      </c>
      <c r="L50" s="8" t="s">
        <v>46</v>
      </c>
      <c r="M50" s="325">
        <f>M47</f>
        <v>2294.3614792003386</v>
      </c>
      <c r="N50" s="233"/>
      <c r="O50" s="19" t="s">
        <v>73</v>
      </c>
      <c r="P50" s="318">
        <f>M50</f>
        <v>2294.3614792003386</v>
      </c>
      <c r="Q50" s="239"/>
      <c r="R50" s="2" t="s">
        <v>342</v>
      </c>
      <c r="S50" s="19" t="s">
        <v>343</v>
      </c>
      <c r="T50" s="318" t="str">
        <f>AD48</f>
        <v>***</v>
      </c>
      <c r="U50" s="239"/>
      <c r="V50" s="239"/>
      <c r="AC50" s="8" t="s">
        <v>46</v>
      </c>
      <c r="AD50" s="412" t="str">
        <f>IF(AD14&gt;=0,"***",M50-P50^2/4/T50)</f>
        <v>***</v>
      </c>
      <c r="AE50" s="412"/>
      <c r="AF50" s="412"/>
      <c r="AG50" s="2" t="str">
        <f>AG44</f>
        <v>kg/cm2</v>
      </c>
      <c r="AH50" s="3"/>
    </row>
    <row r="51" spans="1:29" ht="9.75" customHeight="1">
      <c r="A51" s="1"/>
      <c r="B51" s="1"/>
      <c r="C51" s="1"/>
      <c r="D51" s="52" t="s">
        <v>382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AC51" s="3"/>
    </row>
    <row r="52" spans="1:36" ht="9.75" customHeight="1">
      <c r="A52" s="1"/>
      <c r="B52" s="1"/>
      <c r="C52" s="1"/>
      <c r="D52" s="288" t="str">
        <f>"2 "&amp;D42</f>
        <v>2 SmA</v>
      </c>
      <c r="E52" s="288"/>
      <c r="F52" s="411" t="s">
        <v>55</v>
      </c>
      <c r="G52" s="416" t="str">
        <f>"2 "&amp;D44</f>
        <v>2 SmB</v>
      </c>
      <c r="H52" s="416"/>
      <c r="I52" s="441" t="s">
        <v>383</v>
      </c>
      <c r="J52" s="436">
        <v>1</v>
      </c>
      <c r="K52" s="436"/>
      <c r="L52" s="414" t="s">
        <v>172</v>
      </c>
      <c r="M52" s="19" t="s">
        <v>163</v>
      </c>
      <c r="N52" s="325" t="str">
        <f>IF(AD14&gt;=0,"***",ABS(AD42))</f>
        <v>***</v>
      </c>
      <c r="O52" s="233"/>
      <c r="P52" s="411" t="s">
        <v>55</v>
      </c>
      <c r="Q52" s="19" t="s">
        <v>163</v>
      </c>
      <c r="R52" s="325" t="str">
        <f>IF(AD14&gt;=0,"***",ABS(AD44))</f>
        <v>***</v>
      </c>
      <c r="S52" s="233"/>
      <c r="T52" s="411" t="s">
        <v>46</v>
      </c>
      <c r="U52" s="440" t="str">
        <f>IF(AD14&gt;=0,"***",2*N52/M53)</f>
        <v>***</v>
      </c>
      <c r="V52" s="440"/>
      <c r="W52" s="411" t="s">
        <v>55</v>
      </c>
      <c r="X52" s="440" t="str">
        <f>IF(AD14&gt;=0,"***",2*R52/Q53)</f>
        <v>***</v>
      </c>
      <c r="Y52" s="440"/>
      <c r="Z52" s="411" t="s">
        <v>46</v>
      </c>
      <c r="AA52" s="440" t="str">
        <f>IF(AD14&gt;=0,"***",U52+X52)</f>
        <v>***</v>
      </c>
      <c r="AB52" s="440"/>
      <c r="AC52" s="442" t="str">
        <f>IF(AA52&lt;AD52,"&lt;",IF(AA52=AD52,"=","&gt;"))</f>
        <v>&gt;</v>
      </c>
      <c r="AD52" s="436">
        <f>J52</f>
        <v>1</v>
      </c>
      <c r="AE52" s="436"/>
      <c r="AF52" s="437" t="str">
        <f>IF(AD14&gt;=0,"***",IF(AA52&lt;=AD52,"OK !","Not Acceptable !"))</f>
        <v>***</v>
      </c>
      <c r="AG52" s="437"/>
      <c r="AH52" s="437"/>
      <c r="AI52" s="437"/>
      <c r="AJ52" s="437"/>
    </row>
    <row r="53" spans="1:36" ht="9.75" customHeight="1">
      <c r="A53" s="1"/>
      <c r="B53" s="1"/>
      <c r="C53" s="1"/>
      <c r="D53" s="388" t="str">
        <f>D39</f>
        <v>ScrA</v>
      </c>
      <c r="E53" s="388"/>
      <c r="F53" s="411"/>
      <c r="G53" s="388" t="str">
        <f>G39</f>
        <v>ScrB</v>
      </c>
      <c r="H53" s="388"/>
      <c r="I53" s="411"/>
      <c r="J53" s="436"/>
      <c r="K53" s="436"/>
      <c r="L53" s="414"/>
      <c r="M53" s="352" t="str">
        <f>IF(AD14&gt;=0,"***",ABS(IF(AD45&lt;=M47/2,AD45,AD47)))</f>
        <v>***</v>
      </c>
      <c r="N53" s="352"/>
      <c r="O53" s="352"/>
      <c r="P53" s="411"/>
      <c r="Q53" s="352" t="str">
        <f>IF(AD14&gt;=0,"***",ABS(IF(AD48&lt;=M47/2,AD48,AD50)))</f>
        <v>***</v>
      </c>
      <c r="R53" s="352"/>
      <c r="S53" s="352"/>
      <c r="T53" s="411"/>
      <c r="U53" s="440"/>
      <c r="V53" s="440"/>
      <c r="W53" s="411"/>
      <c r="X53" s="440"/>
      <c r="Y53" s="440"/>
      <c r="Z53" s="411"/>
      <c r="AA53" s="440"/>
      <c r="AB53" s="440"/>
      <c r="AC53" s="442"/>
      <c r="AD53" s="436"/>
      <c r="AE53" s="436"/>
      <c r="AF53" s="437"/>
      <c r="AG53" s="437"/>
      <c r="AH53" s="437"/>
      <c r="AI53" s="437"/>
      <c r="AJ53" s="437"/>
    </row>
    <row r="54" spans="1:34" ht="9.75" customHeight="1">
      <c r="A54" s="1"/>
      <c r="B54" s="1"/>
      <c r="C54" s="1"/>
      <c r="D54" s="1"/>
      <c r="E54" s="1"/>
      <c r="F54" s="1"/>
      <c r="G54" s="1"/>
      <c r="N54" s="1"/>
      <c r="O54" s="1"/>
      <c r="P54" s="1"/>
      <c r="Q54" s="1"/>
      <c r="R54" s="1"/>
      <c r="S54" s="1"/>
      <c r="T54" s="1"/>
      <c r="U54" s="1"/>
      <c r="AH54" s="3"/>
    </row>
    <row r="55" spans="1:34" ht="9.75" customHeight="1">
      <c r="A55" s="1"/>
      <c r="B55" s="1"/>
      <c r="C55" s="24" t="s">
        <v>346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AH55" s="3"/>
    </row>
    <row r="56" spans="1:34" ht="9.75" customHeight="1">
      <c r="A56" s="1"/>
      <c r="B56" s="1"/>
      <c r="C56" s="1"/>
      <c r="D56" s="417" t="s">
        <v>322</v>
      </c>
      <c r="E56" s="417"/>
      <c r="F56" s="409" t="s">
        <v>318</v>
      </c>
      <c r="G56" s="419" t="s">
        <v>347</v>
      </c>
      <c r="H56" s="419"/>
      <c r="I56" s="419"/>
      <c r="J56" s="419"/>
      <c r="K56" s="411" t="s">
        <v>318</v>
      </c>
      <c r="N56" s="239">
        <f>AD14</f>
        <v>10</v>
      </c>
      <c r="O56" s="239"/>
      <c r="P56" s="19" t="s">
        <v>320</v>
      </c>
      <c r="Q56" s="418">
        <f>AD18</f>
        <v>306</v>
      </c>
      <c r="R56" s="239"/>
      <c r="S56" s="19" t="s">
        <v>320</v>
      </c>
      <c r="T56" s="418">
        <f>AD22</f>
        <v>3699</v>
      </c>
      <c r="U56" s="239"/>
      <c r="AC56" s="424" t="s">
        <v>46</v>
      </c>
      <c r="AD56" s="423" t="str">
        <f>IF(AD14&gt;=0,"***",N56*Q56*T56/(2*(M57*P57+S57*V57)))</f>
        <v>***</v>
      </c>
      <c r="AE56" s="423"/>
      <c r="AF56" s="423"/>
      <c r="AG56" s="438" t="str">
        <f>AG28</f>
        <v>kg/cm2</v>
      </c>
      <c r="AH56" s="438"/>
    </row>
    <row r="57" spans="1:36" ht="9.75" customHeight="1">
      <c r="A57" s="6"/>
      <c r="B57" s="6"/>
      <c r="C57" s="6"/>
      <c r="D57" s="417"/>
      <c r="E57" s="417"/>
      <c r="F57" s="409"/>
      <c r="G57" s="21" t="s">
        <v>348</v>
      </c>
      <c r="H57" s="21"/>
      <c r="I57" s="21"/>
      <c r="J57" s="21"/>
      <c r="K57" s="411"/>
      <c r="L57" s="21" t="s">
        <v>325</v>
      </c>
      <c r="M57" s="446">
        <f>AD17</f>
        <v>32</v>
      </c>
      <c r="N57" s="256"/>
      <c r="O57" s="20" t="s">
        <v>320</v>
      </c>
      <c r="P57" s="446">
        <f>T56</f>
        <v>3699</v>
      </c>
      <c r="Q57" s="256"/>
      <c r="R57" s="20" t="s">
        <v>55</v>
      </c>
      <c r="S57" s="446">
        <f>AD21</f>
        <v>22</v>
      </c>
      <c r="T57" s="256"/>
      <c r="U57" s="20" t="s">
        <v>320</v>
      </c>
      <c r="V57" s="446">
        <f>Q56</f>
        <v>306</v>
      </c>
      <c r="W57" s="256"/>
      <c r="X57" s="20" t="s">
        <v>79</v>
      </c>
      <c r="AC57" s="424"/>
      <c r="AD57" s="423"/>
      <c r="AE57" s="423"/>
      <c r="AF57" s="423"/>
      <c r="AG57" s="438"/>
      <c r="AH57" s="438"/>
      <c r="AJ57" s="6"/>
    </row>
    <row r="58" spans="1:34" ht="9.75" customHeight="1">
      <c r="A58" s="1"/>
      <c r="B58" s="1"/>
      <c r="C58" s="1"/>
      <c r="D58" s="417" t="s">
        <v>326</v>
      </c>
      <c r="E58" s="417"/>
      <c r="F58" s="409" t="s">
        <v>318</v>
      </c>
      <c r="G58" s="419" t="s">
        <v>349</v>
      </c>
      <c r="H58" s="419"/>
      <c r="I58" s="419"/>
      <c r="J58" s="419"/>
      <c r="K58" s="411" t="s">
        <v>318</v>
      </c>
      <c r="N58" s="239">
        <f>N56</f>
        <v>10</v>
      </c>
      <c r="O58" s="239"/>
      <c r="P58" s="19" t="s">
        <v>320</v>
      </c>
      <c r="Q58" s="418">
        <f>AD15</f>
        <v>406</v>
      </c>
      <c r="R58" s="239"/>
      <c r="S58" s="19" t="s">
        <v>320</v>
      </c>
      <c r="T58" s="418">
        <f>T56</f>
        <v>3699</v>
      </c>
      <c r="U58" s="239"/>
      <c r="AC58" s="424" t="s">
        <v>46</v>
      </c>
      <c r="AD58" s="423" t="str">
        <f>IF(AD14&gt;=0,"***",N58*Q58*T58/(2*(M59*P59+S59*V59)))</f>
        <v>***</v>
      </c>
      <c r="AE58" s="423"/>
      <c r="AF58" s="423"/>
      <c r="AG58" s="438" t="str">
        <f>AG56</f>
        <v>kg/cm2</v>
      </c>
      <c r="AH58" s="438"/>
    </row>
    <row r="59" spans="1:36" ht="9.75" customHeight="1">
      <c r="A59" s="6"/>
      <c r="B59" s="6"/>
      <c r="C59" s="6"/>
      <c r="D59" s="417"/>
      <c r="E59" s="417"/>
      <c r="F59" s="409"/>
      <c r="G59" s="21" t="s">
        <v>350</v>
      </c>
      <c r="H59" s="21"/>
      <c r="I59" s="21"/>
      <c r="J59" s="21"/>
      <c r="K59" s="411"/>
      <c r="L59" s="21" t="s">
        <v>325</v>
      </c>
      <c r="M59" s="446">
        <f>AD20</f>
        <v>22</v>
      </c>
      <c r="N59" s="256"/>
      <c r="O59" s="20" t="s">
        <v>320</v>
      </c>
      <c r="P59" s="446">
        <f>T58</f>
        <v>3699</v>
      </c>
      <c r="Q59" s="256"/>
      <c r="R59" s="20" t="s">
        <v>55</v>
      </c>
      <c r="S59" s="446">
        <f>AD21</f>
        <v>22</v>
      </c>
      <c r="T59" s="256"/>
      <c r="U59" s="20" t="s">
        <v>320</v>
      </c>
      <c r="V59" s="446">
        <f>Q58</f>
        <v>406</v>
      </c>
      <c r="W59" s="256"/>
      <c r="X59" s="20" t="s">
        <v>79</v>
      </c>
      <c r="AC59" s="424"/>
      <c r="AD59" s="423"/>
      <c r="AE59" s="423"/>
      <c r="AF59" s="423"/>
      <c r="AG59" s="438"/>
      <c r="AH59" s="438"/>
      <c r="AJ59" s="6"/>
    </row>
    <row r="60" spans="1:34" ht="9.75" customHeight="1">
      <c r="A60" s="6"/>
      <c r="B60" s="6"/>
      <c r="C60" s="6"/>
      <c r="D60" s="417" t="s">
        <v>328</v>
      </c>
      <c r="E60" s="417"/>
      <c r="F60" s="409" t="s">
        <v>318</v>
      </c>
      <c r="G60" s="443" t="s">
        <v>329</v>
      </c>
      <c r="H60" s="443"/>
      <c r="I60" s="443"/>
      <c r="J60" s="411" t="s">
        <v>78</v>
      </c>
      <c r="K60" s="19" t="s">
        <v>351</v>
      </c>
      <c r="L60" s="411" t="s">
        <v>332</v>
      </c>
      <c r="M60" s="411" t="s">
        <v>333</v>
      </c>
      <c r="N60" s="411" t="s">
        <v>318</v>
      </c>
      <c r="O60" s="239">
        <f>PI()</f>
        <v>3.141592653589793</v>
      </c>
      <c r="P60" s="239"/>
      <c r="Q60" s="2" t="s">
        <v>54</v>
      </c>
      <c r="R60" s="8" t="s">
        <v>18</v>
      </c>
      <c r="S60" s="233" t="str">
        <f>IF(AD14&gt;=0,"***",moetema(mindex(sc_shellm,2),sc_dt,sc_tu,sc_pu))</f>
        <v>***</v>
      </c>
      <c r="T60" s="233"/>
      <c r="V60" s="411" t="s">
        <v>78</v>
      </c>
      <c r="W60" s="418">
        <f>S57</f>
        <v>22</v>
      </c>
      <c r="X60" s="239"/>
      <c r="Y60" s="411" t="s">
        <v>332</v>
      </c>
      <c r="Z60" s="411" t="s">
        <v>18</v>
      </c>
      <c r="AA60" s="436">
        <f>AA45</f>
        <v>6.353457708713228</v>
      </c>
      <c r="AB60" s="411"/>
      <c r="AC60" s="424" t="s">
        <v>46</v>
      </c>
      <c r="AD60" s="423" t="str">
        <f>IF(AD14&gt;=0,"***",O60^2*S60/(O61*(Q61-S61^2))*(W60/W61)^2*AA60)</f>
        <v>***</v>
      </c>
      <c r="AE60" s="423"/>
      <c r="AF60" s="423"/>
      <c r="AG60" s="438" t="str">
        <f>AG56</f>
        <v>kg/cm2</v>
      </c>
      <c r="AH60" s="438"/>
    </row>
    <row r="61" spans="1:34" ht="9.75" customHeight="1">
      <c r="A61" s="1"/>
      <c r="B61" s="1"/>
      <c r="C61" s="1"/>
      <c r="D61" s="417"/>
      <c r="E61" s="417"/>
      <c r="F61" s="409"/>
      <c r="G61" s="256" t="s">
        <v>330</v>
      </c>
      <c r="H61" s="256"/>
      <c r="I61" s="256"/>
      <c r="J61" s="411"/>
      <c r="K61" s="20" t="s">
        <v>331</v>
      </c>
      <c r="L61" s="411"/>
      <c r="M61" s="411"/>
      <c r="N61" s="411"/>
      <c r="O61" s="10">
        <v>12</v>
      </c>
      <c r="P61" s="20" t="s">
        <v>78</v>
      </c>
      <c r="Q61" s="20">
        <v>1</v>
      </c>
      <c r="R61" s="20" t="s">
        <v>73</v>
      </c>
      <c r="S61" s="256">
        <f>S32</f>
        <v>0.3</v>
      </c>
      <c r="T61" s="256"/>
      <c r="U61" s="10" t="s">
        <v>334</v>
      </c>
      <c r="V61" s="411"/>
      <c r="W61" s="446">
        <f>Q56</f>
        <v>306</v>
      </c>
      <c r="X61" s="256"/>
      <c r="Y61" s="411"/>
      <c r="Z61" s="411"/>
      <c r="AA61" s="411"/>
      <c r="AB61" s="411"/>
      <c r="AC61" s="424"/>
      <c r="AD61" s="423"/>
      <c r="AE61" s="423"/>
      <c r="AF61" s="423"/>
      <c r="AG61" s="438"/>
      <c r="AH61" s="438"/>
    </row>
    <row r="62" spans="1:34" ht="9.75" customHeight="1">
      <c r="A62" s="1"/>
      <c r="B62" s="1"/>
      <c r="C62" s="1"/>
      <c r="D62" s="24" t="s">
        <v>335</v>
      </c>
      <c r="E62" s="1"/>
      <c r="F62" s="1" t="s">
        <v>46</v>
      </c>
      <c r="G62" s="1" t="s">
        <v>336</v>
      </c>
      <c r="L62" s="8" t="s">
        <v>46</v>
      </c>
      <c r="M62" s="325">
        <f>AD23</f>
        <v>2294.3614792003386</v>
      </c>
      <c r="N62" s="233"/>
      <c r="O62" s="19" t="s">
        <v>73</v>
      </c>
      <c r="P62" s="318">
        <f>M62</f>
        <v>2294.3614792003386</v>
      </c>
      <c r="Q62" s="239"/>
      <c r="R62" s="2" t="s">
        <v>342</v>
      </c>
      <c r="S62" s="19" t="s">
        <v>343</v>
      </c>
      <c r="T62" s="318" t="str">
        <f>AD60</f>
        <v>***</v>
      </c>
      <c r="U62" s="239"/>
      <c r="V62" s="239"/>
      <c r="AC62" s="8" t="s">
        <v>46</v>
      </c>
      <c r="AD62" s="412" t="str">
        <f>IF(AD14&gt;=0,"***",M62-P62^2/4/T62)</f>
        <v>***</v>
      </c>
      <c r="AE62" s="412"/>
      <c r="AF62" s="412"/>
      <c r="AG62" s="2" t="str">
        <f>AG30</f>
        <v>kg/cm2</v>
      </c>
      <c r="AH62" s="3"/>
    </row>
    <row r="63" spans="1:34" ht="9.75" customHeight="1">
      <c r="A63" s="1"/>
      <c r="B63" s="1"/>
      <c r="C63" s="1"/>
      <c r="D63" s="417" t="s">
        <v>337</v>
      </c>
      <c r="E63" s="417"/>
      <c r="F63" s="409" t="s">
        <v>318</v>
      </c>
      <c r="G63" s="443" t="s">
        <v>329</v>
      </c>
      <c r="H63" s="443"/>
      <c r="I63" s="443"/>
      <c r="J63" s="411" t="s">
        <v>78</v>
      </c>
      <c r="K63" s="19" t="s">
        <v>351</v>
      </c>
      <c r="L63" s="411" t="s">
        <v>332</v>
      </c>
      <c r="M63" s="411" t="s">
        <v>339</v>
      </c>
      <c r="N63" s="411" t="s">
        <v>318</v>
      </c>
      <c r="O63" s="239">
        <f>PI()</f>
        <v>3.141592653589793</v>
      </c>
      <c r="P63" s="239"/>
      <c r="Q63" s="2" t="s">
        <v>54</v>
      </c>
      <c r="R63" s="8" t="s">
        <v>18</v>
      </c>
      <c r="S63" s="233" t="str">
        <f>IF(AD14&gt;=0,"***",S60)</f>
        <v>***</v>
      </c>
      <c r="T63" s="233"/>
      <c r="V63" s="411" t="s">
        <v>78</v>
      </c>
      <c r="W63" s="418">
        <f>W60</f>
        <v>22</v>
      </c>
      <c r="X63" s="239"/>
      <c r="Y63" s="411" t="s">
        <v>332</v>
      </c>
      <c r="Z63" s="411" t="s">
        <v>18</v>
      </c>
      <c r="AA63" s="436">
        <f>AA48</f>
        <v>7.976333306118145</v>
      </c>
      <c r="AB63" s="411"/>
      <c r="AC63" s="424" t="s">
        <v>46</v>
      </c>
      <c r="AD63" s="423" t="str">
        <f>IF(AD14&gt;=0,"***",O63^2*S63/(O64*(Q64-S64^2))*(W63/W64)^2*AA63)</f>
        <v>***</v>
      </c>
      <c r="AE63" s="423"/>
      <c r="AF63" s="423"/>
      <c r="AG63" s="438" t="str">
        <f>AG56</f>
        <v>kg/cm2</v>
      </c>
      <c r="AH63" s="438"/>
    </row>
    <row r="64" spans="1:34" ht="9.75" customHeight="1">
      <c r="A64" s="6"/>
      <c r="B64" s="6"/>
      <c r="C64" s="6"/>
      <c r="D64" s="417"/>
      <c r="E64" s="417"/>
      <c r="F64" s="409"/>
      <c r="G64" s="256" t="s">
        <v>330</v>
      </c>
      <c r="H64" s="256"/>
      <c r="I64" s="256"/>
      <c r="J64" s="411"/>
      <c r="K64" s="20" t="s">
        <v>345</v>
      </c>
      <c r="L64" s="411"/>
      <c r="M64" s="411"/>
      <c r="N64" s="411"/>
      <c r="O64" s="10">
        <v>12</v>
      </c>
      <c r="P64" s="20" t="s">
        <v>78</v>
      </c>
      <c r="Q64" s="20">
        <v>1</v>
      </c>
      <c r="R64" s="20" t="s">
        <v>73</v>
      </c>
      <c r="S64" s="256">
        <f>S61</f>
        <v>0.3</v>
      </c>
      <c r="T64" s="256"/>
      <c r="U64" s="10" t="s">
        <v>334</v>
      </c>
      <c r="V64" s="411"/>
      <c r="W64" s="446">
        <f>V59</f>
        <v>406</v>
      </c>
      <c r="X64" s="256"/>
      <c r="Y64" s="411"/>
      <c r="Z64" s="411"/>
      <c r="AA64" s="411"/>
      <c r="AB64" s="411"/>
      <c r="AC64" s="424"/>
      <c r="AD64" s="423"/>
      <c r="AE64" s="423"/>
      <c r="AF64" s="423"/>
      <c r="AG64" s="438"/>
      <c r="AH64" s="438"/>
    </row>
    <row r="65" spans="1:34" ht="9.75" customHeight="1">
      <c r="A65" s="1"/>
      <c r="B65" s="1"/>
      <c r="C65" s="1"/>
      <c r="D65" s="24" t="s">
        <v>340</v>
      </c>
      <c r="E65" s="1"/>
      <c r="F65" s="1" t="s">
        <v>46</v>
      </c>
      <c r="G65" s="1" t="s">
        <v>341</v>
      </c>
      <c r="L65" s="8" t="s">
        <v>46</v>
      </c>
      <c r="M65" s="325">
        <f>M62</f>
        <v>2294.3614792003386</v>
      </c>
      <c r="N65" s="233"/>
      <c r="O65" s="19" t="s">
        <v>73</v>
      </c>
      <c r="P65" s="239">
        <f>M65</f>
        <v>2294.3614792003386</v>
      </c>
      <c r="Q65" s="239"/>
      <c r="R65" s="2" t="s">
        <v>342</v>
      </c>
      <c r="S65" s="19" t="s">
        <v>343</v>
      </c>
      <c r="T65" s="318" t="str">
        <f>AD63</f>
        <v>***</v>
      </c>
      <c r="U65" s="239"/>
      <c r="V65" s="239"/>
      <c r="AC65" s="8" t="s">
        <v>46</v>
      </c>
      <c r="AD65" s="412" t="str">
        <f>IF(AD14&gt;=0,"***",M65-P65^2/4/T65)</f>
        <v>***</v>
      </c>
      <c r="AE65" s="412"/>
      <c r="AF65" s="412"/>
      <c r="AG65" s="2" t="str">
        <f>AG62</f>
        <v>kg/cm2</v>
      </c>
      <c r="AH65" s="3"/>
    </row>
    <row r="66" spans="1:29" ht="9.75" customHeight="1">
      <c r="A66" s="1"/>
      <c r="B66" s="1"/>
      <c r="C66" s="1"/>
      <c r="D66" s="52" t="s">
        <v>382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AC66" s="3"/>
    </row>
    <row r="67" spans="1:36" ht="9.75" customHeight="1">
      <c r="A67" s="1"/>
      <c r="B67" s="1"/>
      <c r="C67" s="1"/>
      <c r="D67" s="288" t="str">
        <f>"2 "&amp;D56</f>
        <v>2 SmA</v>
      </c>
      <c r="E67" s="288"/>
      <c r="F67" s="411" t="s">
        <v>55</v>
      </c>
      <c r="G67" s="416" t="str">
        <f>"2 "&amp;D58</f>
        <v>2 SmB</v>
      </c>
      <c r="H67" s="416"/>
      <c r="I67" s="441" t="s">
        <v>383</v>
      </c>
      <c r="J67" s="436">
        <v>1</v>
      </c>
      <c r="K67" s="436"/>
      <c r="L67" s="414" t="s">
        <v>172</v>
      </c>
      <c r="M67" s="19" t="s">
        <v>163</v>
      </c>
      <c r="N67" s="325" t="str">
        <f>IF(AD14&gt;=0,"***",ABS(AD56))</f>
        <v>***</v>
      </c>
      <c r="O67" s="233"/>
      <c r="P67" s="411" t="s">
        <v>55</v>
      </c>
      <c r="Q67" s="19" t="s">
        <v>163</v>
      </c>
      <c r="R67" s="325" t="str">
        <f>IF(AD14&gt;=0,"***",ABS(AD58))</f>
        <v>***</v>
      </c>
      <c r="S67" s="233"/>
      <c r="T67" s="411" t="s">
        <v>46</v>
      </c>
      <c r="U67" s="440" t="str">
        <f>IF(AD14&gt;=0,"***",2*N67/M68)</f>
        <v>***</v>
      </c>
      <c r="V67" s="440"/>
      <c r="W67" s="411" t="s">
        <v>55</v>
      </c>
      <c r="X67" s="440" t="str">
        <f>IF(AD14&gt;=0,"***",2*R67/Q68)</f>
        <v>***</v>
      </c>
      <c r="Y67" s="440"/>
      <c r="Z67" s="411" t="s">
        <v>46</v>
      </c>
      <c r="AA67" s="440" t="str">
        <f>IF(AD14&gt;=0,"***",U67+X67)</f>
        <v>***</v>
      </c>
      <c r="AB67" s="440"/>
      <c r="AC67" s="442" t="str">
        <f>IF(AA67&lt;AD67,"&lt;",IF(AA67=AD67,"=","&gt;"))</f>
        <v>&gt;</v>
      </c>
      <c r="AD67" s="436">
        <f>J67</f>
        <v>1</v>
      </c>
      <c r="AE67" s="436"/>
      <c r="AF67" s="437" t="str">
        <f>IF(AD14&gt;=0,"***",IF(AA67&lt;=AD67,"OK !","Not Acceptable !"))</f>
        <v>***</v>
      </c>
      <c r="AG67" s="437"/>
      <c r="AH67" s="437"/>
      <c r="AI67" s="437"/>
      <c r="AJ67" s="437"/>
    </row>
    <row r="68" spans="1:36" ht="9.75" customHeight="1">
      <c r="A68" s="1"/>
      <c r="B68" s="1"/>
      <c r="C68" s="1"/>
      <c r="D68" s="388" t="str">
        <f>D39</f>
        <v>ScrA</v>
      </c>
      <c r="E68" s="388"/>
      <c r="F68" s="411"/>
      <c r="G68" s="388" t="str">
        <f>G39</f>
        <v>ScrB</v>
      </c>
      <c r="H68" s="388"/>
      <c r="I68" s="411"/>
      <c r="J68" s="436"/>
      <c r="K68" s="436"/>
      <c r="L68" s="414"/>
      <c r="M68" s="352" t="str">
        <f>IF(AD14&gt;=0,"***",ABS(IF(AD60&lt;=M62/2,AD60,AD62)))</f>
        <v>***</v>
      </c>
      <c r="N68" s="352"/>
      <c r="O68" s="352"/>
      <c r="P68" s="411"/>
      <c r="Q68" s="352" t="str">
        <f>IF(AD14&gt;=0,"***",ABS(IF(AD63&lt;=M62/2,AD63,AD65)))</f>
        <v>***</v>
      </c>
      <c r="R68" s="352"/>
      <c r="S68" s="352"/>
      <c r="T68" s="411"/>
      <c r="U68" s="440"/>
      <c r="V68" s="440"/>
      <c r="W68" s="411"/>
      <c r="X68" s="440"/>
      <c r="Y68" s="440"/>
      <c r="Z68" s="411"/>
      <c r="AA68" s="440"/>
      <c r="AB68" s="440"/>
      <c r="AC68" s="442"/>
      <c r="AD68" s="436"/>
      <c r="AE68" s="436"/>
      <c r="AF68" s="437"/>
      <c r="AG68" s="437"/>
      <c r="AH68" s="437"/>
      <c r="AI68" s="437"/>
      <c r="AJ68" s="437"/>
    </row>
    <row r="69" spans="1:29" ht="9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AC69" s="3"/>
    </row>
    <row r="70" spans="1:28" ht="9.75" customHeight="1">
      <c r="A70" s="6"/>
      <c r="B70" s="6"/>
      <c r="C70" s="6"/>
      <c r="D70" s="6" t="s">
        <v>388</v>
      </c>
      <c r="E70" s="6"/>
      <c r="F70" s="294" t="str">
        <f>D68</f>
        <v>ScrA</v>
      </c>
      <c r="G70" s="294"/>
      <c r="H70" s="411" t="s">
        <v>46</v>
      </c>
      <c r="I70" s="7" t="str">
        <f>D60&amp;"   when  "&amp;D60&amp;"  ≤  Sy / 2"</f>
        <v>S'crA   when  S'crA  ≤  Sy / 2</v>
      </c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3"/>
      <c r="W70" s="3"/>
      <c r="X70" s="3"/>
      <c r="Y70" s="3"/>
      <c r="Z70" s="3"/>
      <c r="AA70" s="3"/>
      <c r="AB70" s="3"/>
    </row>
    <row r="71" spans="1:30" ht="9.75" customHeight="1">
      <c r="A71" s="1"/>
      <c r="B71" s="1"/>
      <c r="C71" s="1"/>
      <c r="D71" s="1"/>
      <c r="E71" s="1"/>
      <c r="F71" s="294"/>
      <c r="G71" s="294"/>
      <c r="H71" s="411"/>
      <c r="I71" s="7" t="str">
        <f>D62&amp;"  when  "&amp;D60&amp;"  &gt;  Sy / 2"</f>
        <v>S''crA  when  S'crA  &gt;  Sy / 2</v>
      </c>
      <c r="J71" s="1"/>
      <c r="Q71" s="1"/>
      <c r="R71" s="1"/>
      <c r="S71" s="1"/>
      <c r="T71" s="1"/>
      <c r="U71" s="1"/>
      <c r="AD71" s="3"/>
    </row>
    <row r="72" spans="1:36" ht="9.75" customHeight="1">
      <c r="A72" s="6"/>
      <c r="B72" s="6"/>
      <c r="C72" s="6"/>
      <c r="D72" s="6"/>
      <c r="E72" s="6"/>
      <c r="F72" s="294" t="str">
        <f>G68</f>
        <v>ScrB</v>
      </c>
      <c r="G72" s="294"/>
      <c r="H72" s="411" t="s">
        <v>46</v>
      </c>
      <c r="I72" s="7" t="str">
        <f>D63&amp;"   when  "&amp;D63&amp;"  ≤  Sy / 2"</f>
        <v>S'crB   when  S'crB  ≤  Sy / 2</v>
      </c>
      <c r="J72" s="6"/>
      <c r="K72" s="3"/>
      <c r="L72" s="3"/>
      <c r="M72" s="3"/>
      <c r="N72" s="3"/>
      <c r="O72" s="3"/>
      <c r="P72" s="3"/>
      <c r="Q72" s="3"/>
      <c r="R72" s="3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</row>
    <row r="73" spans="1:29" ht="9.75" customHeight="1">
      <c r="A73" s="1"/>
      <c r="B73" s="1"/>
      <c r="C73" s="1"/>
      <c r="D73" s="1"/>
      <c r="E73" s="1"/>
      <c r="F73" s="294"/>
      <c r="G73" s="294"/>
      <c r="H73" s="411"/>
      <c r="I73" s="7" t="str">
        <f>D65&amp;"   when  "&amp;D63&amp;"  &gt;  Sy / 2"</f>
        <v>S''crB   when  S'crB  &gt;  Sy / 2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AC73" s="3"/>
    </row>
    <row r="74" spans="1:28" ht="9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3"/>
      <c r="W74" s="3"/>
      <c r="X74" s="3"/>
      <c r="Y74" s="3"/>
      <c r="Z74" s="3"/>
      <c r="AA74" s="3"/>
      <c r="AB74" s="3"/>
    </row>
    <row r="75" spans="1:34" ht="9.75" customHeight="1">
      <c r="A75" s="21" t="str">
        <f>cosymbol</f>
        <v> NTES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10"/>
      <c r="AD75" s="10"/>
      <c r="AE75" s="10"/>
      <c r="AF75" s="10"/>
      <c r="AG75" s="10"/>
      <c r="AH75" s="11" t="str">
        <f>coname</f>
        <v>Narai Thermal Engineering Services </v>
      </c>
    </row>
    <row r="76" spans="1:34" ht="9.75" customHeight="1">
      <c r="A76" s="55"/>
      <c r="B76" s="133" t="str">
        <f>sc_title2</f>
        <v>H E A D E R     B O X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 t="s">
        <v>429</v>
      </c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41" t="s">
        <v>422</v>
      </c>
      <c r="AA76" s="41"/>
      <c r="AB76" s="41"/>
      <c r="AC76" s="135"/>
      <c r="AD76" s="276" t="str">
        <f>AD1</f>
        <v>SC - RPV - 100</v>
      </c>
      <c r="AE76" s="276"/>
      <c r="AF76" s="276"/>
      <c r="AG76" s="276"/>
      <c r="AH76" s="276"/>
    </row>
    <row r="77" spans="1:34" ht="9.75" customHeight="1">
      <c r="A77" s="415" t="str">
        <f>sc_title</f>
        <v>S T R E N G T H     C A L C U L A T I O N</v>
      </c>
      <c r="B77" s="415"/>
      <c r="C77" s="415"/>
      <c r="D77" s="415"/>
      <c r="E77" s="415"/>
      <c r="F77" s="415"/>
      <c r="G77" s="415"/>
      <c r="H77" s="415"/>
      <c r="I77" s="415"/>
      <c r="J77" s="415"/>
      <c r="K77" s="415"/>
      <c r="L77" s="415"/>
      <c r="M77" s="415"/>
      <c r="N77" s="415"/>
      <c r="O77" s="415"/>
      <c r="P77" s="415"/>
      <c r="Q77" s="415"/>
      <c r="R77" s="415"/>
      <c r="S77" s="415"/>
      <c r="T77" s="415"/>
      <c r="U77" s="415"/>
      <c r="V77" s="415"/>
      <c r="W77" s="415"/>
      <c r="X77" s="415"/>
      <c r="Y77" s="415"/>
      <c r="Z77" s="37" t="s">
        <v>423</v>
      </c>
      <c r="AA77" s="37"/>
      <c r="AB77" s="37"/>
      <c r="AC77" s="136"/>
      <c r="AD77" s="263" t="str">
        <f>AD2</f>
        <v>2019.  7.  15.</v>
      </c>
      <c r="AE77" s="263"/>
      <c r="AF77" s="263"/>
      <c r="AG77" s="263"/>
      <c r="AH77" s="263"/>
    </row>
    <row r="78" spans="1:34" ht="9.75" customHeight="1">
      <c r="A78" s="415"/>
      <c r="B78" s="415"/>
      <c r="C78" s="415"/>
      <c r="D78" s="415"/>
      <c r="E78" s="415"/>
      <c r="F78" s="415"/>
      <c r="G78" s="415"/>
      <c r="H78" s="415"/>
      <c r="I78" s="415"/>
      <c r="J78" s="415"/>
      <c r="K78" s="415"/>
      <c r="L78" s="415"/>
      <c r="M78" s="415"/>
      <c r="N78" s="415"/>
      <c r="O78" s="415"/>
      <c r="P78" s="415"/>
      <c r="Q78" s="415"/>
      <c r="R78" s="415"/>
      <c r="S78" s="415"/>
      <c r="T78" s="415"/>
      <c r="U78" s="415"/>
      <c r="V78" s="415"/>
      <c r="W78" s="415"/>
      <c r="X78" s="415"/>
      <c r="Y78" s="415"/>
      <c r="Z78" s="37" t="s">
        <v>424</v>
      </c>
      <c r="AA78" s="37"/>
      <c r="AB78" s="37"/>
      <c r="AC78" s="136"/>
      <c r="AD78" s="263">
        <f>AD3</f>
        <v>0</v>
      </c>
      <c r="AE78" s="263"/>
      <c r="AF78" s="263"/>
      <c r="AG78" s="263"/>
      <c r="AH78" s="263"/>
    </row>
    <row r="79" spans="1:34" ht="9.75" customHeight="1">
      <c r="A79" s="249"/>
      <c r="B79" s="249"/>
      <c r="C79" s="249"/>
      <c r="D79" s="249"/>
      <c r="E79" s="249"/>
      <c r="F79" s="249"/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249"/>
      <c r="R79" s="249"/>
      <c r="S79" s="249"/>
      <c r="T79" s="249"/>
      <c r="U79" s="249"/>
      <c r="V79" s="249"/>
      <c r="W79" s="249"/>
      <c r="X79" s="249"/>
      <c r="Y79" s="249"/>
      <c r="Z79" s="51" t="s">
        <v>425</v>
      </c>
      <c r="AA79" s="51"/>
      <c r="AB79" s="51"/>
      <c r="AC79" s="51"/>
      <c r="AD79" s="456">
        <f>AD4+1</f>
        <v>3</v>
      </c>
      <c r="AE79" s="456"/>
      <c r="AF79" s="73" t="s">
        <v>0</v>
      </c>
      <c r="AG79" s="236" t="str">
        <f>AG4</f>
        <v>x</v>
      </c>
      <c r="AH79" s="236"/>
    </row>
    <row r="80" spans="1:29" ht="9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AC80" s="3"/>
    </row>
    <row r="81" spans="1:34" ht="9.75" customHeight="1">
      <c r="A81" s="6"/>
      <c r="B81" s="6" t="s">
        <v>9</v>
      </c>
      <c r="C81" s="6"/>
      <c r="D81" s="6"/>
      <c r="E81" s="7" t="str">
        <f>project</f>
        <v>Later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3"/>
      <c r="R81" s="3"/>
      <c r="S81" s="3"/>
      <c r="T81" s="5"/>
      <c r="U81" s="5"/>
      <c r="V81" s="5"/>
      <c r="Y81" s="3"/>
      <c r="Z81" s="3"/>
      <c r="AA81" s="3"/>
      <c r="AB81" s="3"/>
      <c r="AC81" s="3"/>
      <c r="AD81" s="3"/>
      <c r="AE81" s="3"/>
      <c r="AF81" s="3"/>
      <c r="AG81" s="3"/>
      <c r="AH81" s="4"/>
    </row>
    <row r="82" spans="1:34" ht="9.75" customHeight="1">
      <c r="A82" s="6"/>
      <c r="B82" s="6" t="s">
        <v>11</v>
      </c>
      <c r="C82" s="6"/>
      <c r="D82" s="6"/>
      <c r="E82" s="7" t="str">
        <f>itemno</f>
        <v>H - 100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5"/>
      <c r="U82" s="5"/>
      <c r="V82" s="5"/>
      <c r="Y82" s="6"/>
      <c r="Z82" s="6"/>
      <c r="AA82" s="6"/>
      <c r="AB82" s="6"/>
      <c r="AC82" s="6"/>
      <c r="AD82" s="6"/>
      <c r="AE82" s="6"/>
      <c r="AF82" s="6"/>
      <c r="AG82" s="6"/>
      <c r="AH82" s="4"/>
    </row>
    <row r="83" spans="1:34" ht="9.75" customHeight="1">
      <c r="A83" s="6"/>
      <c r="B83" s="6" t="s">
        <v>14</v>
      </c>
      <c r="C83" s="6"/>
      <c r="D83" s="6"/>
      <c r="E83" s="7" t="str">
        <f>service</f>
        <v>Air Cooled Heat Exchanger</v>
      </c>
      <c r="F83" s="6"/>
      <c r="G83" s="6"/>
      <c r="H83" s="6"/>
      <c r="I83" s="6"/>
      <c r="J83" s="6"/>
      <c r="K83" s="6" t="s">
        <v>321</v>
      </c>
      <c r="L83" s="6"/>
      <c r="M83" s="6"/>
      <c r="N83" s="6"/>
      <c r="O83" s="6"/>
      <c r="P83" s="6"/>
      <c r="Q83" s="6"/>
      <c r="R83" s="6"/>
      <c r="S83" s="6"/>
      <c r="Y83" s="6"/>
      <c r="Z83" s="6"/>
      <c r="AA83" s="6"/>
      <c r="AB83" s="6"/>
      <c r="AC83" s="6"/>
      <c r="AD83" s="6"/>
      <c r="AE83" s="6"/>
      <c r="AF83" s="6"/>
      <c r="AG83" s="6"/>
      <c r="AH83" s="3"/>
    </row>
    <row r="84" spans="1:33" ht="9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</row>
    <row r="85" spans="1:29" ht="9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3"/>
      <c r="W85" s="3"/>
      <c r="X85" s="3"/>
      <c r="Y85" s="3"/>
      <c r="Z85" s="3"/>
      <c r="AA85" s="3"/>
      <c r="AB85" s="3"/>
      <c r="AC85" s="3"/>
    </row>
    <row r="86" spans="1:29" ht="9.75" customHeight="1">
      <c r="A86" s="1"/>
      <c r="B86" s="1"/>
      <c r="C86" s="52" t="s">
        <v>354</v>
      </c>
      <c r="D86" s="9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AC86" s="3"/>
    </row>
    <row r="87" spans="1:29" ht="9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3"/>
      <c r="W87" s="3"/>
      <c r="X87" s="3"/>
      <c r="Y87" s="3"/>
      <c r="Z87" s="3"/>
      <c r="AA87" s="3"/>
      <c r="AB87" s="3"/>
      <c r="AC87" s="3"/>
    </row>
    <row r="88" spans="1:34" ht="9.75" customHeight="1">
      <c r="A88" s="1"/>
      <c r="B88" s="1"/>
      <c r="C88" s="1"/>
      <c r="D88" s="417" t="s">
        <v>355</v>
      </c>
      <c r="E88" s="417"/>
      <c r="F88" s="409" t="s">
        <v>318</v>
      </c>
      <c r="G88" s="419" t="s">
        <v>356</v>
      </c>
      <c r="H88" s="419"/>
      <c r="I88" s="419"/>
      <c r="J88" s="419"/>
      <c r="K88" s="411" t="s">
        <v>318</v>
      </c>
      <c r="N88" s="239">
        <f>AD14</f>
        <v>10</v>
      </c>
      <c r="O88" s="239"/>
      <c r="P88" s="19" t="s">
        <v>320</v>
      </c>
      <c r="Q88" s="418">
        <f>AD16</f>
        <v>450</v>
      </c>
      <c r="R88" s="239"/>
      <c r="S88" s="19" t="s">
        <v>320</v>
      </c>
      <c r="T88" s="418">
        <f>AD19</f>
        <v>370</v>
      </c>
      <c r="U88" s="239"/>
      <c r="AC88" s="424" t="s">
        <v>46</v>
      </c>
      <c r="AD88" s="423" t="str">
        <f>IF(AD14&gt;=0,"***",N88*Q88*T88/(2*(M89*P89+S89*V89)))</f>
        <v>***</v>
      </c>
      <c r="AE88" s="423"/>
      <c r="AF88" s="423"/>
      <c r="AG88" s="438" t="str">
        <f>upsx(sc_pu)</f>
        <v>kg/cm2</v>
      </c>
      <c r="AH88" s="438"/>
    </row>
    <row r="89" spans="1:36" ht="9.75" customHeight="1">
      <c r="A89" s="6"/>
      <c r="B89" s="6"/>
      <c r="C89" s="6"/>
      <c r="D89" s="417"/>
      <c r="E89" s="417"/>
      <c r="F89" s="409"/>
      <c r="G89" s="21" t="s">
        <v>409</v>
      </c>
      <c r="H89" s="21"/>
      <c r="I89" s="21"/>
      <c r="J89" s="21"/>
      <c r="K89" s="411"/>
      <c r="L89" s="21" t="s">
        <v>325</v>
      </c>
      <c r="M89" s="446">
        <f>AD20</f>
        <v>22</v>
      </c>
      <c r="N89" s="256"/>
      <c r="O89" s="20" t="s">
        <v>320</v>
      </c>
      <c r="P89" s="446">
        <f>T88</f>
        <v>370</v>
      </c>
      <c r="Q89" s="256"/>
      <c r="R89" s="20" t="s">
        <v>55</v>
      </c>
      <c r="S89" s="446">
        <f>AD17</f>
        <v>32</v>
      </c>
      <c r="T89" s="256"/>
      <c r="U89" s="20" t="s">
        <v>320</v>
      </c>
      <c r="V89" s="446">
        <f>Q88</f>
        <v>450</v>
      </c>
      <c r="W89" s="256"/>
      <c r="X89" s="20" t="s">
        <v>79</v>
      </c>
      <c r="AC89" s="424"/>
      <c r="AD89" s="423"/>
      <c r="AE89" s="423"/>
      <c r="AF89" s="423"/>
      <c r="AG89" s="438"/>
      <c r="AH89" s="438"/>
      <c r="AJ89" s="6"/>
    </row>
    <row r="90" spans="1:28" ht="9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3"/>
      <c r="W90" s="3"/>
      <c r="X90" s="3"/>
      <c r="Y90" s="3"/>
      <c r="Z90" s="3"/>
      <c r="AA90" s="3"/>
      <c r="AB90" s="3"/>
    </row>
    <row r="91" spans="1:32" ht="9.75" customHeight="1">
      <c r="A91" s="1"/>
      <c r="B91" s="1"/>
      <c r="C91" s="1"/>
      <c r="D91" s="35" t="s">
        <v>367</v>
      </c>
      <c r="E91" s="1"/>
      <c r="F91" s="1"/>
      <c r="G91" s="1"/>
      <c r="H91" s="1"/>
      <c r="I91" s="1"/>
      <c r="J91" s="9" t="s">
        <v>366</v>
      </c>
      <c r="O91" s="1"/>
      <c r="P91" s="1"/>
      <c r="Q91" s="1"/>
      <c r="R91" s="1"/>
      <c r="S91" s="1"/>
      <c r="T91" s="1"/>
      <c r="U91" s="1"/>
      <c r="AC91" s="1" t="s">
        <v>46</v>
      </c>
      <c r="AD91" s="243" t="str">
        <f>IF(AD14&gt;=0,"***",0.289*MIN(ABS(((AD19*AD16^3-AD15*AD18^3)/(AD19*AD16-AD15*AD18)))^0.5,ABS(((AD16*AD19^3-AD18*AD15^3)/(AD16*AD19-AD18*AD15)))^0.5))</f>
        <v>***</v>
      </c>
      <c r="AE91" s="243"/>
      <c r="AF91" s="243"/>
    </row>
    <row r="92" spans="1:42" ht="9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3"/>
      <c r="W92" s="3"/>
      <c r="X92" s="3"/>
      <c r="Y92" s="3"/>
      <c r="Z92" s="3"/>
      <c r="AA92" s="3"/>
      <c r="AB92" s="3"/>
      <c r="AC92" s="3"/>
      <c r="AO92" s="233"/>
      <c r="AP92" s="233"/>
    </row>
    <row r="93" spans="1:32" ht="9.75" customHeight="1">
      <c r="A93" s="1"/>
      <c r="B93" s="1"/>
      <c r="C93" s="1"/>
      <c r="D93" s="9" t="s">
        <v>357</v>
      </c>
      <c r="E93" s="1"/>
      <c r="F93" s="1" t="s">
        <v>46</v>
      </c>
      <c r="G93" s="1" t="s">
        <v>358</v>
      </c>
      <c r="H93" s="1"/>
      <c r="I93" s="1"/>
      <c r="J93" s="1"/>
      <c r="K93" s="1"/>
      <c r="L93" s="19" t="s">
        <v>46</v>
      </c>
      <c r="M93" s="19" t="s">
        <v>78</v>
      </c>
      <c r="N93" s="19">
        <v>2</v>
      </c>
      <c r="O93" s="19" t="s">
        <v>18</v>
      </c>
      <c r="P93" s="239">
        <f>PI()</f>
        <v>3.141592653589793</v>
      </c>
      <c r="Q93" s="239"/>
      <c r="R93" s="1" t="s">
        <v>54</v>
      </c>
      <c r="S93" s="19" t="s">
        <v>18</v>
      </c>
      <c r="T93" s="239">
        <f>moetema(mindex(sc_shellm,2),sc_dt,sc_tu,sc_pu)</f>
        <v>1999529.8844937691</v>
      </c>
      <c r="U93" s="239"/>
      <c r="V93" s="8" t="s">
        <v>71</v>
      </c>
      <c r="W93" s="325">
        <f>AD23</f>
        <v>2294.3614792003386</v>
      </c>
      <c r="X93" s="233"/>
      <c r="Y93" s="2" t="s">
        <v>170</v>
      </c>
      <c r="AC93" s="8" t="s">
        <v>46</v>
      </c>
      <c r="AD93" s="243" t="str">
        <f>IF(AD14&gt;=0,"***",(N93*P93^2*T93/W93)^0.5)</f>
        <v>***</v>
      </c>
      <c r="AE93" s="243"/>
      <c r="AF93" s="243"/>
    </row>
    <row r="94" spans="1:29" ht="9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AC94" s="3"/>
    </row>
    <row r="95" spans="1:29" ht="9.75" customHeight="1">
      <c r="A95" s="6"/>
      <c r="B95" s="6"/>
      <c r="C95" s="6"/>
      <c r="D95" s="7" t="s">
        <v>368</v>
      </c>
      <c r="E95" s="6"/>
      <c r="F95" s="6"/>
      <c r="G95" s="6" t="s">
        <v>46</v>
      </c>
      <c r="H95" s="19">
        <v>2</v>
      </c>
      <c r="I95" s="19" t="s">
        <v>18</v>
      </c>
      <c r="J95" s="452">
        <f>AD22</f>
        <v>3699</v>
      </c>
      <c r="K95" s="452"/>
      <c r="L95" s="8" t="s">
        <v>71</v>
      </c>
      <c r="M95" s="332" t="str">
        <f>AD91</f>
        <v>***</v>
      </c>
      <c r="N95" s="332"/>
      <c r="O95" s="8" t="s">
        <v>46</v>
      </c>
      <c r="P95" s="454" t="str">
        <f>IF(AD14&gt;=0,"***",H95*J95/M95)</f>
        <v>***</v>
      </c>
      <c r="Q95" s="454"/>
      <c r="R95" s="6"/>
      <c r="S95" s="82" t="str">
        <f>IF(P95&lt;=U95,"≤","&gt;")</f>
        <v>≤</v>
      </c>
      <c r="T95" s="6"/>
      <c r="U95" s="455" t="str">
        <f>AD93</f>
        <v>***</v>
      </c>
      <c r="V95" s="288"/>
      <c r="W95" s="19" t="s">
        <v>46</v>
      </c>
      <c r="X95" s="7" t="s">
        <v>357</v>
      </c>
      <c r="Y95" s="6"/>
      <c r="Z95" s="6"/>
      <c r="AA95" s="3"/>
      <c r="AB95" s="3"/>
      <c r="AC95" s="3"/>
    </row>
    <row r="96" spans="1:29" ht="9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AC96" s="3"/>
    </row>
    <row r="97" spans="1:29" ht="9.75" customHeight="1">
      <c r="A97" s="6"/>
      <c r="B97" s="6"/>
      <c r="C97" s="6"/>
      <c r="D97" s="7" t="s">
        <v>369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3"/>
      <c r="W97" s="3"/>
      <c r="X97" s="3"/>
      <c r="Y97" s="3"/>
      <c r="Z97" s="3"/>
      <c r="AA97" s="3"/>
      <c r="AB97" s="3"/>
      <c r="AC97" s="3"/>
    </row>
    <row r="98" spans="1:29" ht="9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AC98" s="3"/>
    </row>
    <row r="99" spans="1:28" ht="9.75" customHeight="1">
      <c r="A99" s="6"/>
      <c r="B99" s="6"/>
      <c r="C99" s="6"/>
      <c r="G99" s="411" t="s">
        <v>48</v>
      </c>
      <c r="H99" s="411">
        <v>1</v>
      </c>
      <c r="I99" s="411" t="s">
        <v>73</v>
      </c>
      <c r="J99" s="239" t="s">
        <v>410</v>
      </c>
      <c r="K99" s="239"/>
      <c r="L99" s="239"/>
      <c r="M99" s="411" t="s">
        <v>51</v>
      </c>
      <c r="N99" s="411" t="s">
        <v>176</v>
      </c>
      <c r="O99" s="6"/>
      <c r="P99" s="6"/>
      <c r="Q99" s="6"/>
      <c r="R99" s="6"/>
      <c r="S99" s="6"/>
      <c r="T99" s="6"/>
      <c r="U99" s="6"/>
      <c r="V99" s="3"/>
      <c r="W99" s="3"/>
      <c r="X99" s="3"/>
      <c r="Y99" s="3"/>
      <c r="Z99" s="3"/>
      <c r="AA99" s="3"/>
      <c r="AB99" s="3"/>
    </row>
    <row r="100" spans="1:28" ht="9.75" customHeight="1">
      <c r="A100" s="6"/>
      <c r="B100" s="6"/>
      <c r="C100" s="6"/>
      <c r="D100" s="417" t="s">
        <v>359</v>
      </c>
      <c r="E100" s="417"/>
      <c r="F100" s="409" t="s">
        <v>318</v>
      </c>
      <c r="G100" s="411"/>
      <c r="H100" s="411"/>
      <c r="I100" s="411"/>
      <c r="J100" s="256" t="s">
        <v>360</v>
      </c>
      <c r="K100" s="256"/>
      <c r="L100" s="256"/>
      <c r="M100" s="411"/>
      <c r="N100" s="411"/>
      <c r="O100" s="6"/>
      <c r="P100" s="6"/>
      <c r="Q100" s="6"/>
      <c r="R100" s="6"/>
      <c r="S100" s="6"/>
      <c r="T100" s="6"/>
      <c r="U100" s="6"/>
      <c r="V100" s="3"/>
      <c r="W100" s="3"/>
      <c r="X100" s="3"/>
      <c r="Y100" s="3"/>
      <c r="Z100" s="3"/>
      <c r="AA100" s="3"/>
      <c r="AB100" s="3"/>
    </row>
    <row r="101" spans="1:29" ht="9.75" customHeight="1">
      <c r="A101" s="1"/>
      <c r="B101" s="1"/>
      <c r="C101" s="1"/>
      <c r="D101" s="417"/>
      <c r="E101" s="417"/>
      <c r="F101" s="409"/>
      <c r="G101" s="20">
        <v>5</v>
      </c>
      <c r="H101" s="451" t="s">
        <v>55</v>
      </c>
      <c r="I101" s="256" t="s">
        <v>412</v>
      </c>
      <c r="J101" s="256"/>
      <c r="K101" s="256"/>
      <c r="L101" s="451" t="s">
        <v>73</v>
      </c>
      <c r="M101" s="256" t="s">
        <v>413</v>
      </c>
      <c r="N101" s="256"/>
      <c r="O101" s="256"/>
      <c r="P101" s="1"/>
      <c r="Q101" s="1"/>
      <c r="R101" s="1"/>
      <c r="S101" s="1"/>
      <c r="T101" s="1"/>
      <c r="U101" s="1"/>
      <c r="AC101" s="3"/>
    </row>
    <row r="102" spans="1:29" ht="9.75" customHeight="1">
      <c r="A102" s="6"/>
      <c r="B102" s="6"/>
      <c r="C102" s="6"/>
      <c r="D102" s="6"/>
      <c r="E102" s="6"/>
      <c r="F102" s="6"/>
      <c r="G102" s="20">
        <v>3</v>
      </c>
      <c r="H102" s="411"/>
      <c r="I102" s="256" t="s">
        <v>361</v>
      </c>
      <c r="J102" s="256"/>
      <c r="K102" s="256"/>
      <c r="L102" s="411"/>
      <c r="M102" s="256" t="s">
        <v>362</v>
      </c>
      <c r="N102" s="256"/>
      <c r="O102" s="256"/>
      <c r="P102" s="6"/>
      <c r="Q102" s="6"/>
      <c r="R102" s="6"/>
      <c r="S102" s="6"/>
      <c r="T102" s="6"/>
      <c r="U102" s="6"/>
      <c r="V102" s="3"/>
      <c r="W102" s="3"/>
      <c r="X102" s="3"/>
      <c r="Y102" s="3"/>
      <c r="Z102" s="3"/>
      <c r="AA102" s="3"/>
      <c r="AB102" s="3"/>
      <c r="AC102" s="3"/>
    </row>
    <row r="103" spans="1:29" ht="9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AC103" s="3"/>
    </row>
    <row r="104" spans="1:29" ht="9.75" customHeight="1">
      <c r="A104" s="6"/>
      <c r="B104" s="6"/>
      <c r="C104" s="6"/>
      <c r="D104" s="6"/>
      <c r="E104" s="6"/>
      <c r="F104" s="6"/>
      <c r="G104" s="411" t="s">
        <v>48</v>
      </c>
      <c r="H104" s="411">
        <v>1</v>
      </c>
      <c r="I104" s="411" t="s">
        <v>73</v>
      </c>
      <c r="J104" s="19" t="s">
        <v>411</v>
      </c>
      <c r="K104" s="19" t="s">
        <v>415</v>
      </c>
      <c r="L104" s="452">
        <f>IF(P95&gt;U95,"***",J95)</f>
        <v>3699</v>
      </c>
      <c r="M104" s="452"/>
      <c r="N104" s="19" t="s">
        <v>71</v>
      </c>
      <c r="O104" s="418" t="str">
        <f>IF(P95&gt;U95,"***",AD91)</f>
        <v>***</v>
      </c>
      <c r="P104" s="418"/>
      <c r="Q104" s="19" t="s">
        <v>363</v>
      </c>
      <c r="R104" s="411" t="s">
        <v>51</v>
      </c>
      <c r="S104" s="411" t="s">
        <v>18</v>
      </c>
      <c r="T104" s="411">
        <f>IF(P95&gt;U95,"***",W93)</f>
        <v>2294.3614792003386</v>
      </c>
      <c r="U104" s="411"/>
      <c r="V104" s="3"/>
      <c r="W104" s="3"/>
      <c r="X104" s="3"/>
      <c r="Y104" s="3"/>
      <c r="Z104" s="3"/>
      <c r="AA104" s="3"/>
      <c r="AB104" s="3"/>
      <c r="AC104" s="3"/>
    </row>
    <row r="105" spans="1:32" ht="9.75" customHeight="1">
      <c r="A105" s="1"/>
      <c r="B105" s="1"/>
      <c r="C105" s="1"/>
      <c r="D105" s="1"/>
      <c r="E105" s="1"/>
      <c r="F105" s="409" t="s">
        <v>318</v>
      </c>
      <c r="G105" s="411"/>
      <c r="H105" s="411"/>
      <c r="I105" s="411"/>
      <c r="J105" s="80"/>
      <c r="K105" s="80"/>
      <c r="L105" s="80"/>
      <c r="M105" s="50">
        <v>2</v>
      </c>
      <c r="N105" s="50" t="s">
        <v>18</v>
      </c>
      <c r="O105" s="453" t="str">
        <f>IF(P95&gt;U95,"***",AD93)</f>
        <v>***</v>
      </c>
      <c r="P105" s="257"/>
      <c r="Q105" s="80" t="s">
        <v>54</v>
      </c>
      <c r="R105" s="411"/>
      <c r="S105" s="411"/>
      <c r="T105" s="411"/>
      <c r="U105" s="411"/>
      <c r="AA105" s="411" t="s">
        <v>46</v>
      </c>
      <c r="AB105" s="447" t="str">
        <f>IF(AD14&gt;=0,"***",IF(P95&gt;U95,"***",((H104-(2*L104/O104)^2/M105/O105^2)*T104)/(G106/G107+3*(2*K106/N106)/L107/N107-(2*T106/W106)^3/U107/W107^3)))</f>
        <v>***</v>
      </c>
      <c r="AC105" s="447"/>
      <c r="AD105" s="447"/>
      <c r="AE105" s="409" t="str">
        <f>AG88</f>
        <v>kg/cm2</v>
      </c>
      <c r="AF105" s="409"/>
    </row>
    <row r="106" spans="1:32" ht="9.75" customHeight="1">
      <c r="A106" s="6"/>
      <c r="B106" s="6"/>
      <c r="C106" s="6"/>
      <c r="D106" s="6"/>
      <c r="E106" s="6"/>
      <c r="F106" s="409"/>
      <c r="G106" s="20">
        <v>5</v>
      </c>
      <c r="H106" s="451" t="s">
        <v>55</v>
      </c>
      <c r="I106" s="20">
        <v>3</v>
      </c>
      <c r="J106" s="20" t="s">
        <v>414</v>
      </c>
      <c r="K106" s="445">
        <f>L104</f>
        <v>3699</v>
      </c>
      <c r="L106" s="445"/>
      <c r="M106" s="20" t="s">
        <v>71</v>
      </c>
      <c r="N106" s="446" t="str">
        <f>O104</f>
        <v>***</v>
      </c>
      <c r="O106" s="446"/>
      <c r="P106" s="20" t="s">
        <v>365</v>
      </c>
      <c r="Q106" s="451" t="s">
        <v>73</v>
      </c>
      <c r="R106" s="20" t="s">
        <v>411</v>
      </c>
      <c r="S106" s="20" t="s">
        <v>415</v>
      </c>
      <c r="T106" s="445">
        <f>L104</f>
        <v>3699</v>
      </c>
      <c r="U106" s="445"/>
      <c r="V106" s="20" t="s">
        <v>71</v>
      </c>
      <c r="W106" s="446" t="str">
        <f>O104</f>
        <v>***</v>
      </c>
      <c r="X106" s="256"/>
      <c r="Y106" s="20" t="s">
        <v>364</v>
      </c>
      <c r="Z106" s="3"/>
      <c r="AA106" s="411"/>
      <c r="AB106" s="447"/>
      <c r="AC106" s="447"/>
      <c r="AD106" s="447"/>
      <c r="AE106" s="409"/>
      <c r="AF106" s="409"/>
    </row>
    <row r="107" spans="1:29" ht="9.75" customHeight="1">
      <c r="A107" s="1"/>
      <c r="B107" s="1"/>
      <c r="C107" s="1"/>
      <c r="D107" s="1"/>
      <c r="E107" s="1"/>
      <c r="F107" s="1"/>
      <c r="G107" s="20">
        <v>3</v>
      </c>
      <c r="H107" s="411"/>
      <c r="I107" s="10"/>
      <c r="J107" s="10"/>
      <c r="K107" s="10"/>
      <c r="L107" s="20">
        <v>8</v>
      </c>
      <c r="M107" s="20" t="s">
        <v>18</v>
      </c>
      <c r="N107" s="446" t="str">
        <f>O105</f>
        <v>***</v>
      </c>
      <c r="O107" s="256"/>
      <c r="P107" s="10"/>
      <c r="Q107" s="411"/>
      <c r="R107" s="10"/>
      <c r="S107" s="10"/>
      <c r="T107" s="10"/>
      <c r="U107" s="20">
        <v>8</v>
      </c>
      <c r="V107" s="20" t="s">
        <v>18</v>
      </c>
      <c r="W107" s="446" t="str">
        <f>O105</f>
        <v>***</v>
      </c>
      <c r="X107" s="256"/>
      <c r="Y107" s="10" t="s">
        <v>241</v>
      </c>
      <c r="AC107" s="3"/>
    </row>
    <row r="108" spans="1:29" ht="9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AC108" s="3"/>
    </row>
    <row r="109" spans="1:28" ht="9.75" customHeight="1">
      <c r="A109" s="6"/>
      <c r="B109" s="6"/>
      <c r="C109" s="6"/>
      <c r="D109" s="7" t="s">
        <v>370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3"/>
      <c r="W109" s="3"/>
      <c r="X109" s="3"/>
      <c r="Y109" s="3"/>
      <c r="Z109" s="3"/>
      <c r="AA109" s="3"/>
      <c r="AB109" s="3"/>
    </row>
    <row r="110" spans="1:29" ht="9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3"/>
      <c r="W110" s="3"/>
      <c r="X110" s="3"/>
      <c r="Y110" s="3"/>
      <c r="Z110" s="3"/>
      <c r="AA110" s="3"/>
      <c r="AB110" s="3"/>
      <c r="AC110" s="3"/>
    </row>
    <row r="111" spans="1:32" ht="9.75" customHeight="1">
      <c r="A111" s="6"/>
      <c r="B111" s="6"/>
      <c r="C111" s="6"/>
      <c r="D111" s="417" t="s">
        <v>359</v>
      </c>
      <c r="E111" s="417"/>
      <c r="F111" s="409" t="s">
        <v>318</v>
      </c>
      <c r="G111" s="239" t="s">
        <v>371</v>
      </c>
      <c r="H111" s="239"/>
      <c r="I111" s="239"/>
      <c r="J111" s="239"/>
      <c r="K111" s="411" t="s">
        <v>318</v>
      </c>
      <c r="L111" s="19">
        <v>12</v>
      </c>
      <c r="M111" s="19" t="s">
        <v>18</v>
      </c>
      <c r="N111" s="239">
        <f>PI()</f>
        <v>3.141592653589793</v>
      </c>
      <c r="O111" s="239"/>
      <c r="P111" s="1" t="s">
        <v>54</v>
      </c>
      <c r="Q111" s="19" t="s">
        <v>18</v>
      </c>
      <c r="R111" s="239" t="str">
        <f>IF(P95&lt;=U95,"***",T93)</f>
        <v>***</v>
      </c>
      <c r="S111" s="239"/>
      <c r="T111" s="6"/>
      <c r="U111" s="6"/>
      <c r="V111" s="3"/>
      <c r="W111" s="3"/>
      <c r="X111" s="3"/>
      <c r="Y111" s="3"/>
      <c r="Z111" s="3"/>
      <c r="AA111" s="411" t="s">
        <v>46</v>
      </c>
      <c r="AB111" s="447" t="str">
        <f>IF(AD14&gt;=0,"***",IF(P95&lt;=U95,"***",L111*N111^2*R111/(L112*(N112*P112/S112)^2)))</f>
        <v>***</v>
      </c>
      <c r="AC111" s="447"/>
      <c r="AD111" s="447"/>
      <c r="AE111" s="409" t="str">
        <f>AE105</f>
        <v>kg/cm2</v>
      </c>
      <c r="AF111" s="409"/>
    </row>
    <row r="112" spans="1:32" ht="9.75" customHeight="1">
      <c r="A112" s="1"/>
      <c r="B112" s="1"/>
      <c r="C112" s="1"/>
      <c r="D112" s="417"/>
      <c r="E112" s="417"/>
      <c r="F112" s="409"/>
      <c r="G112" s="256" t="s">
        <v>372</v>
      </c>
      <c r="H112" s="256"/>
      <c r="I112" s="256"/>
      <c r="J112" s="256"/>
      <c r="K112" s="411"/>
      <c r="L112" s="20">
        <v>23</v>
      </c>
      <c r="M112" s="20" t="s">
        <v>169</v>
      </c>
      <c r="N112" s="20">
        <v>2</v>
      </c>
      <c r="O112" s="20" t="s">
        <v>18</v>
      </c>
      <c r="P112" s="445" t="str">
        <f>IF(P95&lt;=U95,"***",J95)</f>
        <v>***</v>
      </c>
      <c r="Q112" s="445"/>
      <c r="R112" s="20" t="s">
        <v>71</v>
      </c>
      <c r="S112" s="446" t="str">
        <f>IF(P95&lt;=U95,"***",AD91)</f>
        <v>***</v>
      </c>
      <c r="T112" s="256"/>
      <c r="U112" s="10" t="s">
        <v>363</v>
      </c>
      <c r="AA112" s="411"/>
      <c r="AB112" s="447"/>
      <c r="AC112" s="447"/>
      <c r="AD112" s="447"/>
      <c r="AE112" s="409"/>
      <c r="AF112" s="409"/>
    </row>
    <row r="113" spans="1:29" ht="9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3"/>
      <c r="W113" s="3"/>
      <c r="X113" s="3"/>
      <c r="Y113" s="3"/>
      <c r="Z113" s="3"/>
      <c r="AA113" s="3"/>
      <c r="AB113" s="3"/>
      <c r="AC113" s="3"/>
    </row>
    <row r="114" spans="1:28" ht="9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3"/>
      <c r="W114" s="3"/>
      <c r="X114" s="3"/>
      <c r="Y114" s="3"/>
      <c r="Z114" s="3"/>
      <c r="AA114" s="3"/>
      <c r="AB114" s="3"/>
    </row>
    <row r="115" spans="1:31" ht="9.75" customHeight="1">
      <c r="A115" s="1"/>
      <c r="B115" s="1"/>
      <c r="C115" s="1"/>
      <c r="D115" s="24" t="s">
        <v>234</v>
      </c>
      <c r="E115" s="1"/>
      <c r="F115" s="1" t="s">
        <v>46</v>
      </c>
      <c r="G115" s="1" t="s">
        <v>375</v>
      </c>
      <c r="H115" s="1"/>
      <c r="I115" s="1"/>
      <c r="J115" s="19" t="s">
        <v>46</v>
      </c>
      <c r="K115" s="239">
        <f>N88</f>
        <v>10</v>
      </c>
      <c r="L115" s="239"/>
      <c r="M115" s="19" t="s">
        <v>18</v>
      </c>
      <c r="N115" s="418">
        <f>Q88</f>
        <v>450</v>
      </c>
      <c r="O115" s="239"/>
      <c r="P115" s="19" t="s">
        <v>18</v>
      </c>
      <c r="Q115" s="418">
        <f>T88</f>
        <v>370</v>
      </c>
      <c r="R115" s="239"/>
      <c r="S115" s="19" t="s">
        <v>18</v>
      </c>
      <c r="T115" s="450">
        <v>0</v>
      </c>
      <c r="U115" s="450"/>
      <c r="AA115" s="8" t="s">
        <v>46</v>
      </c>
      <c r="AB115" s="412" t="str">
        <f>IF(AD14&gt;=0,"***",K115*N115*Q115*T115)</f>
        <v>***</v>
      </c>
      <c r="AC115" s="412"/>
      <c r="AD115" s="412"/>
      <c r="AE115" s="2" t="str">
        <f>AE111&amp;"-mm"</f>
        <v>kg/cm2-mm</v>
      </c>
    </row>
    <row r="116" spans="1:29" ht="9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3"/>
      <c r="W116" s="3"/>
      <c r="X116" s="3"/>
      <c r="Y116" s="3"/>
      <c r="Z116" s="3"/>
      <c r="AA116" s="3"/>
      <c r="AB116" s="3"/>
      <c r="AC116" s="3"/>
    </row>
    <row r="117" spans="1:31" ht="9.75" customHeight="1">
      <c r="A117" s="1"/>
      <c r="B117" s="1"/>
      <c r="C117" s="1"/>
      <c r="D117" s="24" t="s">
        <v>380</v>
      </c>
      <c r="E117" s="1"/>
      <c r="F117" s="1" t="s">
        <v>46</v>
      </c>
      <c r="G117" s="1" t="s">
        <v>62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AA117" s="8" t="s">
        <v>46</v>
      </c>
      <c r="AB117" s="448" t="str">
        <f>IF(AD14&gt;=0,"***",IF(K115&gt;=0,"***",ABS(N115*Q115^3-AD18*AD15^3)/12))</f>
        <v>***</v>
      </c>
      <c r="AC117" s="448"/>
      <c r="AD117" s="448"/>
      <c r="AE117" s="2" t="s">
        <v>66</v>
      </c>
    </row>
    <row r="118" spans="1:28" ht="9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3"/>
      <c r="W118" s="3"/>
      <c r="X118" s="3"/>
      <c r="Y118" s="3"/>
      <c r="Z118" s="3"/>
      <c r="AA118" s="3"/>
      <c r="AB118" s="3"/>
    </row>
    <row r="119" spans="1:31" ht="9.75" customHeight="1">
      <c r="A119" s="1"/>
      <c r="B119" s="1"/>
      <c r="C119" s="1"/>
      <c r="D119" s="24" t="s">
        <v>373</v>
      </c>
      <c r="E119" s="1"/>
      <c r="F119" s="1" t="s">
        <v>46</v>
      </c>
      <c r="G119" s="1" t="s">
        <v>374</v>
      </c>
      <c r="H119" s="1"/>
      <c r="I119" s="1"/>
      <c r="J119" s="19" t="s">
        <v>46</v>
      </c>
      <c r="K119" s="318" t="str">
        <f>AB115</f>
        <v>***</v>
      </c>
      <c r="L119" s="239"/>
      <c r="M119" s="19" t="s">
        <v>18</v>
      </c>
      <c r="N119" s="239">
        <f>sc_sci1</f>
        <v>11</v>
      </c>
      <c r="O119" s="239"/>
      <c r="P119" s="19" t="s">
        <v>71</v>
      </c>
      <c r="Q119" s="449" t="str">
        <f>AB117</f>
        <v>***</v>
      </c>
      <c r="R119" s="449"/>
      <c r="S119" s="449"/>
      <c r="T119" s="1"/>
      <c r="U119" s="1"/>
      <c r="AA119" s="8" t="s">
        <v>46</v>
      </c>
      <c r="AB119" s="412" t="str">
        <f>IF(AD14&gt;=0,"***",K119*N119/Q119)</f>
        <v>***</v>
      </c>
      <c r="AC119" s="412"/>
      <c r="AD119" s="412"/>
      <c r="AE119" s="2" t="str">
        <f>AE111</f>
        <v>kg/cm2</v>
      </c>
    </row>
    <row r="120" spans="1:29" ht="9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AC120" s="3"/>
    </row>
    <row r="121" spans="1:32" ht="9.75" customHeight="1">
      <c r="A121" s="1"/>
      <c r="B121" s="1"/>
      <c r="C121" s="1"/>
      <c r="D121" s="417" t="s">
        <v>381</v>
      </c>
      <c r="E121" s="417"/>
      <c r="F121" s="409" t="s">
        <v>318</v>
      </c>
      <c r="G121" s="239" t="s">
        <v>371</v>
      </c>
      <c r="H121" s="239"/>
      <c r="I121" s="239"/>
      <c r="J121" s="239"/>
      <c r="K121" s="411" t="s">
        <v>318</v>
      </c>
      <c r="L121" s="19">
        <v>12</v>
      </c>
      <c r="M121" s="19" t="s">
        <v>18</v>
      </c>
      <c r="N121" s="239">
        <f>PI()</f>
        <v>3.141592653589793</v>
      </c>
      <c r="O121" s="239"/>
      <c r="P121" s="1" t="s">
        <v>54</v>
      </c>
      <c r="Q121" s="19" t="s">
        <v>18</v>
      </c>
      <c r="R121" s="239">
        <f>T93</f>
        <v>1999529.8844937691</v>
      </c>
      <c r="S121" s="239"/>
      <c r="T121" s="6"/>
      <c r="U121" s="6"/>
      <c r="V121" s="3"/>
      <c r="W121" s="3"/>
      <c r="X121" s="3"/>
      <c r="Y121" s="3"/>
      <c r="Z121" s="3"/>
      <c r="AA121" s="411" t="s">
        <v>46</v>
      </c>
      <c r="AB121" s="447" t="str">
        <f>IF(AD14&gt;=0,"***",L121*N121^2*R121/(L122*(N122*P122/S122)^2))</f>
        <v>***</v>
      </c>
      <c r="AC121" s="447"/>
      <c r="AD121" s="447"/>
      <c r="AE121" s="409" t="str">
        <f>AE111</f>
        <v>kg/cm2</v>
      </c>
      <c r="AF121" s="409"/>
    </row>
    <row r="122" spans="1:32" ht="9.75" customHeight="1">
      <c r="A122" s="6"/>
      <c r="B122" s="6"/>
      <c r="C122" s="6"/>
      <c r="D122" s="417"/>
      <c r="E122" s="417"/>
      <c r="F122" s="409"/>
      <c r="G122" s="256" t="s">
        <v>372</v>
      </c>
      <c r="H122" s="256"/>
      <c r="I122" s="256"/>
      <c r="J122" s="256"/>
      <c r="K122" s="411"/>
      <c r="L122" s="20">
        <v>23</v>
      </c>
      <c r="M122" s="20" t="s">
        <v>169</v>
      </c>
      <c r="N122" s="20">
        <v>2</v>
      </c>
      <c r="O122" s="20" t="s">
        <v>18</v>
      </c>
      <c r="P122" s="445">
        <f>J95</f>
        <v>3699</v>
      </c>
      <c r="Q122" s="445"/>
      <c r="R122" s="20" t="s">
        <v>71</v>
      </c>
      <c r="S122" s="446" t="str">
        <f>AD91</f>
        <v>***</v>
      </c>
      <c r="T122" s="256"/>
      <c r="U122" s="10" t="s">
        <v>363</v>
      </c>
      <c r="AA122" s="411"/>
      <c r="AB122" s="447"/>
      <c r="AC122" s="447"/>
      <c r="AD122" s="447"/>
      <c r="AE122" s="409"/>
      <c r="AF122" s="409"/>
    </row>
    <row r="123" spans="1:29" ht="9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3"/>
      <c r="W123" s="3"/>
      <c r="X123" s="3"/>
      <c r="Y123" s="3"/>
      <c r="Z123" s="3"/>
      <c r="AA123" s="3"/>
      <c r="AB123" s="3"/>
      <c r="AC123" s="3"/>
    </row>
    <row r="124" spans="1:29" ht="9.75" customHeight="1">
      <c r="A124" s="1"/>
      <c r="B124" s="1"/>
      <c r="C124" s="1"/>
      <c r="D124" s="52" t="s">
        <v>382</v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AC124" s="3"/>
    </row>
    <row r="125" spans="1:29" ht="9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3"/>
      <c r="W125" s="3"/>
      <c r="X125" s="3"/>
      <c r="Y125" s="3"/>
      <c r="Z125" s="3"/>
      <c r="AA125" s="3"/>
      <c r="AB125" s="3"/>
      <c r="AC125" s="3"/>
    </row>
    <row r="126" spans="1:29" ht="9.75" customHeight="1">
      <c r="A126" s="1"/>
      <c r="B126" s="1"/>
      <c r="C126" s="1"/>
      <c r="D126" s="16" t="str">
        <f>D88</f>
        <v>Sa</v>
      </c>
      <c r="E126" s="411" t="s">
        <v>55</v>
      </c>
      <c r="F126" s="288" t="str">
        <f>D119</f>
        <v>Sb</v>
      </c>
      <c r="G126" s="288"/>
      <c r="H126" s="288"/>
      <c r="I126" s="288"/>
      <c r="J126" s="288"/>
      <c r="K126" s="441" t="s">
        <v>383</v>
      </c>
      <c r="L126" s="436">
        <v>1</v>
      </c>
      <c r="M126" s="436"/>
      <c r="N126" s="1"/>
      <c r="O126" s="1"/>
      <c r="P126" s="1"/>
      <c r="Q126" s="1"/>
      <c r="R126" s="1"/>
      <c r="S126" s="1"/>
      <c r="T126" s="1"/>
      <c r="U126" s="1"/>
      <c r="AC126" s="3"/>
    </row>
    <row r="127" spans="1:29" ht="9.75" customHeight="1">
      <c r="A127" s="1"/>
      <c r="B127" s="1"/>
      <c r="C127" s="1"/>
      <c r="D127" s="90" t="str">
        <f>D100</f>
        <v>Fa</v>
      </c>
      <c r="E127" s="411"/>
      <c r="F127" s="388" t="str">
        <f>"( 1 - "&amp;D126&amp;" / "&amp;D121&amp;" ) S"</f>
        <v>( 1 - Sa / F'e ) S</v>
      </c>
      <c r="G127" s="388"/>
      <c r="H127" s="388"/>
      <c r="I127" s="388"/>
      <c r="J127" s="388"/>
      <c r="K127" s="411"/>
      <c r="L127" s="436"/>
      <c r="M127" s="436"/>
      <c r="N127" s="1"/>
      <c r="O127" s="1"/>
      <c r="P127" s="1"/>
      <c r="Q127" s="1"/>
      <c r="R127" s="1"/>
      <c r="S127" s="1"/>
      <c r="T127" s="1"/>
      <c r="U127" s="1"/>
      <c r="AC127" s="3"/>
    </row>
    <row r="128" spans="1:29" ht="9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AC128" s="3"/>
    </row>
    <row r="129" spans="1:34" ht="9.75" customHeight="1">
      <c r="A129" s="6"/>
      <c r="B129" s="6"/>
      <c r="C129" s="6"/>
      <c r="D129" s="318" t="str">
        <f>IF(AD14&gt;=0,"***",ABS(AD88))</f>
        <v>***</v>
      </c>
      <c r="E129" s="239"/>
      <c r="F129" s="411" t="s">
        <v>55</v>
      </c>
      <c r="G129" s="6"/>
      <c r="H129" s="6"/>
      <c r="I129" s="6"/>
      <c r="J129" s="318" t="str">
        <f>IF(AD14&gt;=0,"***",ABS(AB119))</f>
        <v>***</v>
      </c>
      <c r="K129" s="239"/>
      <c r="L129" s="6"/>
      <c r="M129" s="6"/>
      <c r="N129" s="6"/>
      <c r="O129" s="6"/>
      <c r="P129" s="6"/>
      <c r="Q129" s="6"/>
      <c r="R129" s="6"/>
      <c r="S129" s="411" t="s">
        <v>46</v>
      </c>
      <c r="T129" s="440" t="str">
        <f>IF(AD14&gt;=0,"***",D129/D130)</f>
        <v>***</v>
      </c>
      <c r="U129" s="440"/>
      <c r="V129" s="411" t="s">
        <v>55</v>
      </c>
      <c r="W129" s="440" t="str">
        <f>IF(AD14&gt;=0,"***",J129/((H130-J130/M130)*Q130))</f>
        <v>***</v>
      </c>
      <c r="X129" s="440"/>
      <c r="Y129" s="411" t="s">
        <v>46</v>
      </c>
      <c r="Z129" s="444" t="str">
        <f>IF(AD14&gt;=0,"***",T129+W129)</f>
        <v>***</v>
      </c>
      <c r="AA129" s="444"/>
      <c r="AB129" s="442" t="str">
        <f>IF(Z129&lt;AC129,"&lt;",IF(Z129=AC129,"=","&gt;"))</f>
        <v>&gt;</v>
      </c>
      <c r="AC129" s="436">
        <f>L126</f>
        <v>1</v>
      </c>
      <c r="AD129" s="436"/>
      <c r="AE129" s="437" t="str">
        <f>IF(AD14&gt;=0,"***",IF(Z129&lt;=AC129,"OK !","Not Acceptable !"))</f>
        <v>***</v>
      </c>
      <c r="AF129" s="437"/>
      <c r="AG129" s="437"/>
      <c r="AH129" s="437"/>
    </row>
    <row r="130" spans="1:34" ht="9.75" customHeight="1">
      <c r="A130" s="1"/>
      <c r="B130" s="1"/>
      <c r="C130" s="1"/>
      <c r="D130" s="256" t="str">
        <f>IF(P95&lt;=U95,AB105,AB111)</f>
        <v>***</v>
      </c>
      <c r="E130" s="256"/>
      <c r="F130" s="411"/>
      <c r="G130" s="20" t="s">
        <v>78</v>
      </c>
      <c r="H130" s="20">
        <v>1</v>
      </c>
      <c r="I130" s="20" t="s">
        <v>73</v>
      </c>
      <c r="J130" s="352" t="str">
        <f>D129</f>
        <v>***</v>
      </c>
      <c r="K130" s="256"/>
      <c r="L130" s="20" t="s">
        <v>71</v>
      </c>
      <c r="M130" s="352" t="str">
        <f>AB121</f>
        <v>***</v>
      </c>
      <c r="N130" s="256"/>
      <c r="O130" s="256"/>
      <c r="P130" s="20" t="s">
        <v>384</v>
      </c>
      <c r="Q130" s="352">
        <f>AD24</f>
        <v>1040.1105372374868</v>
      </c>
      <c r="R130" s="256"/>
      <c r="S130" s="411"/>
      <c r="T130" s="440"/>
      <c r="U130" s="440"/>
      <c r="V130" s="411"/>
      <c r="W130" s="440"/>
      <c r="X130" s="440"/>
      <c r="Y130" s="411"/>
      <c r="Z130" s="444"/>
      <c r="AA130" s="444"/>
      <c r="AB130" s="442"/>
      <c r="AC130" s="436"/>
      <c r="AD130" s="436"/>
      <c r="AE130" s="437"/>
      <c r="AF130" s="437"/>
      <c r="AG130" s="437"/>
      <c r="AH130" s="437"/>
    </row>
    <row r="131" spans="1:28" ht="9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3"/>
      <c r="W131" s="3"/>
      <c r="X131" s="3"/>
      <c r="Y131" s="3"/>
      <c r="Z131" s="3"/>
      <c r="AA131" s="3"/>
      <c r="AB131" s="3"/>
    </row>
    <row r="132" spans="1:28" ht="9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3"/>
      <c r="W132" s="3"/>
      <c r="X132" s="3"/>
      <c r="Y132" s="3"/>
      <c r="Z132" s="3"/>
      <c r="AA132" s="3"/>
      <c r="AB132" s="3"/>
    </row>
    <row r="133" spans="1:29" ht="9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AC133" s="3"/>
    </row>
    <row r="134" spans="1:29" ht="9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AC134" s="3"/>
    </row>
    <row r="135" spans="1:29" ht="9.75" customHeight="1">
      <c r="A135" s="6"/>
      <c r="B135" s="6"/>
      <c r="C135" s="6"/>
      <c r="D135" s="6"/>
      <c r="E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3"/>
      <c r="W135" s="3"/>
      <c r="X135" s="3"/>
      <c r="Y135" s="3"/>
      <c r="Z135" s="3"/>
      <c r="AA135" s="3"/>
      <c r="AB135" s="3"/>
      <c r="AC135" s="3"/>
    </row>
    <row r="136" spans="1:28" ht="9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3"/>
      <c r="W136" s="3"/>
      <c r="X136" s="3"/>
      <c r="Y136" s="3"/>
      <c r="Z136" s="3"/>
      <c r="AA136" s="3"/>
      <c r="AB136" s="3"/>
    </row>
    <row r="137" spans="1:28" ht="9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3"/>
      <c r="W137" s="3"/>
      <c r="X137" s="3"/>
      <c r="Y137" s="3"/>
      <c r="Z137" s="3"/>
      <c r="AA137" s="3"/>
      <c r="AB137" s="3"/>
    </row>
    <row r="138" spans="1:29" ht="9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AC138" s="3"/>
    </row>
    <row r="139" spans="1:29" ht="9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3"/>
      <c r="W139" s="3"/>
      <c r="X139" s="3"/>
      <c r="Y139" s="3"/>
      <c r="Z139" s="3"/>
      <c r="AA139" s="3"/>
      <c r="AB139" s="3"/>
      <c r="AC139" s="3"/>
    </row>
    <row r="140" spans="1:29" ht="9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3"/>
      <c r="W140" s="3"/>
      <c r="X140" s="3"/>
      <c r="Y140" s="3"/>
      <c r="Z140" s="3"/>
      <c r="AA140" s="3"/>
      <c r="AB140" s="3"/>
      <c r="AC140" s="3"/>
    </row>
    <row r="141" spans="1:29" ht="9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AC141" s="3"/>
    </row>
    <row r="142" spans="1:29" ht="9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AC142" s="3"/>
    </row>
    <row r="143" spans="1:29" ht="9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AC143" s="3"/>
    </row>
    <row r="144" spans="1:29" ht="9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3"/>
      <c r="W144" s="3"/>
      <c r="X144" s="3"/>
      <c r="Y144" s="3"/>
      <c r="Z144" s="3"/>
      <c r="AA144" s="3"/>
      <c r="AB144" s="3"/>
      <c r="AC144" s="3"/>
    </row>
    <row r="145" spans="1:29" ht="9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3"/>
      <c r="W145" s="3"/>
      <c r="X145" s="3"/>
      <c r="Y145" s="3"/>
      <c r="Z145" s="3"/>
      <c r="AA145" s="3"/>
      <c r="AB145" s="3"/>
      <c r="AC145" s="3"/>
    </row>
    <row r="146" spans="1:29" ht="9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3"/>
      <c r="W146" s="3"/>
      <c r="X146" s="3"/>
      <c r="Y146" s="3"/>
      <c r="Z146" s="3"/>
      <c r="AA146" s="3"/>
      <c r="AB146" s="3"/>
      <c r="AC146" s="3"/>
    </row>
    <row r="147" spans="1:29" ht="9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AC147" s="3"/>
    </row>
    <row r="148" spans="1:28" ht="9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3"/>
      <c r="W148" s="3"/>
      <c r="X148" s="3"/>
      <c r="Y148" s="3"/>
      <c r="Z148" s="3"/>
      <c r="AA148" s="3"/>
      <c r="AB148" s="3"/>
    </row>
    <row r="149" spans="1:28" ht="9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</row>
    <row r="150" spans="1:34" ht="9.75" customHeight="1">
      <c r="A150" s="10" t="str">
        <f>cosymbol</f>
        <v> NTES</v>
      </c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1" t="str">
        <f>coname</f>
        <v>Narai Thermal Engineering Services </v>
      </c>
    </row>
    <row r="189" ht="13.5" customHeight="1"/>
    <row r="190" ht="13.5" customHeight="1"/>
  </sheetData>
  <mergeCells count="416">
    <mergeCell ref="D28:E29"/>
    <mergeCell ref="AC28:AC29"/>
    <mergeCell ref="AG28:AH29"/>
    <mergeCell ref="AD28:AF29"/>
    <mergeCell ref="V29:W29"/>
    <mergeCell ref="G28:J28"/>
    <mergeCell ref="F28:F29"/>
    <mergeCell ref="Q28:R28"/>
    <mergeCell ref="T28:U28"/>
    <mergeCell ref="K28:K29"/>
    <mergeCell ref="AD1:AH1"/>
    <mergeCell ref="A2:Y4"/>
    <mergeCell ref="AD2:AH2"/>
    <mergeCell ref="AD3:AH3"/>
    <mergeCell ref="AD4:AE4"/>
    <mergeCell ref="AG4:AH4"/>
    <mergeCell ref="N28:O28"/>
    <mergeCell ref="M29:N29"/>
    <mergeCell ref="L30:M30"/>
    <mergeCell ref="O30:P30"/>
    <mergeCell ref="P29:Q29"/>
    <mergeCell ref="S29:T29"/>
    <mergeCell ref="T30:U30"/>
    <mergeCell ref="AD30:AF30"/>
    <mergeCell ref="D31:E32"/>
    <mergeCell ref="F31:F32"/>
    <mergeCell ref="J31:J32"/>
    <mergeCell ref="L31:L32"/>
    <mergeCell ref="M31:M32"/>
    <mergeCell ref="G31:I31"/>
    <mergeCell ref="G32:I32"/>
    <mergeCell ref="W32:X32"/>
    <mergeCell ref="D34:E35"/>
    <mergeCell ref="F34:F35"/>
    <mergeCell ref="G34:I34"/>
    <mergeCell ref="J34:J35"/>
    <mergeCell ref="G35:I35"/>
    <mergeCell ref="L34:L35"/>
    <mergeCell ref="M34:M35"/>
    <mergeCell ref="N34:N35"/>
    <mergeCell ref="O34:P34"/>
    <mergeCell ref="AA31:AB32"/>
    <mergeCell ref="AC31:AC32"/>
    <mergeCell ref="AD31:AF32"/>
    <mergeCell ref="Y31:Y32"/>
    <mergeCell ref="M33:N33"/>
    <mergeCell ref="P33:Q33"/>
    <mergeCell ref="T33:V33"/>
    <mergeCell ref="Z31:Z32"/>
    <mergeCell ref="N31:N32"/>
    <mergeCell ref="O31:P31"/>
    <mergeCell ref="S31:T31"/>
    <mergeCell ref="S32:T32"/>
    <mergeCell ref="W31:X31"/>
    <mergeCell ref="V31:V32"/>
    <mergeCell ref="AC34:AC35"/>
    <mergeCell ref="AD34:AF35"/>
    <mergeCell ref="AG31:AH32"/>
    <mergeCell ref="AD33:AF33"/>
    <mergeCell ref="Z34:Z35"/>
    <mergeCell ref="AA34:AB35"/>
    <mergeCell ref="S34:T34"/>
    <mergeCell ref="V34:V35"/>
    <mergeCell ref="S35:T35"/>
    <mergeCell ref="W35:X35"/>
    <mergeCell ref="W34:X34"/>
    <mergeCell ref="Y34:Y35"/>
    <mergeCell ref="M36:N36"/>
    <mergeCell ref="P36:Q36"/>
    <mergeCell ref="T36:V36"/>
    <mergeCell ref="AD36:AF36"/>
    <mergeCell ref="D42:E43"/>
    <mergeCell ref="F42:F43"/>
    <mergeCell ref="G42:J42"/>
    <mergeCell ref="K42:K43"/>
    <mergeCell ref="AG42:AH43"/>
    <mergeCell ref="M43:N43"/>
    <mergeCell ref="P43:Q43"/>
    <mergeCell ref="S43:T43"/>
    <mergeCell ref="V43:W43"/>
    <mergeCell ref="N42:O42"/>
    <mergeCell ref="Q42:R42"/>
    <mergeCell ref="T42:U42"/>
    <mergeCell ref="AC42:AC43"/>
    <mergeCell ref="O44:P44"/>
    <mergeCell ref="T44:U44"/>
    <mergeCell ref="AD44:AF44"/>
    <mergeCell ref="AD42:AF43"/>
    <mergeCell ref="L45:L46"/>
    <mergeCell ref="M45:M46"/>
    <mergeCell ref="G46:I46"/>
    <mergeCell ref="L44:M44"/>
    <mergeCell ref="D45:E46"/>
    <mergeCell ref="F45:F46"/>
    <mergeCell ref="G45:I45"/>
    <mergeCell ref="J45:J46"/>
    <mergeCell ref="AG45:AH46"/>
    <mergeCell ref="M47:N47"/>
    <mergeCell ref="P47:Q47"/>
    <mergeCell ref="T47:V47"/>
    <mergeCell ref="AD47:AF47"/>
    <mergeCell ref="Z45:Z46"/>
    <mergeCell ref="W46:X46"/>
    <mergeCell ref="AA45:AB46"/>
    <mergeCell ref="AC45:AC46"/>
    <mergeCell ref="N45:N46"/>
    <mergeCell ref="L48:L49"/>
    <mergeCell ref="M48:M49"/>
    <mergeCell ref="G49:I49"/>
    <mergeCell ref="AD45:AF46"/>
    <mergeCell ref="V45:V46"/>
    <mergeCell ref="W45:X45"/>
    <mergeCell ref="Y45:Y46"/>
    <mergeCell ref="O45:P45"/>
    <mergeCell ref="S45:T45"/>
    <mergeCell ref="S46:T46"/>
    <mergeCell ref="D48:E49"/>
    <mergeCell ref="F48:F49"/>
    <mergeCell ref="G48:I48"/>
    <mergeCell ref="J48:J49"/>
    <mergeCell ref="N48:N49"/>
    <mergeCell ref="V48:V49"/>
    <mergeCell ref="W48:X48"/>
    <mergeCell ref="Y48:Y49"/>
    <mergeCell ref="O48:P48"/>
    <mergeCell ref="S48:T48"/>
    <mergeCell ref="S49:T49"/>
    <mergeCell ref="AD48:AF49"/>
    <mergeCell ref="AG48:AH49"/>
    <mergeCell ref="M50:N50"/>
    <mergeCell ref="P50:Q50"/>
    <mergeCell ref="T50:V50"/>
    <mergeCell ref="AD50:AF50"/>
    <mergeCell ref="Z48:Z49"/>
    <mergeCell ref="W49:X49"/>
    <mergeCell ref="AA48:AB49"/>
    <mergeCell ref="AC48:AC49"/>
    <mergeCell ref="D56:E57"/>
    <mergeCell ref="F56:F57"/>
    <mergeCell ref="G56:J56"/>
    <mergeCell ref="K56:K57"/>
    <mergeCell ref="AD56:AF57"/>
    <mergeCell ref="AG56:AH57"/>
    <mergeCell ref="M57:N57"/>
    <mergeCell ref="P57:Q57"/>
    <mergeCell ref="S57:T57"/>
    <mergeCell ref="V57:W57"/>
    <mergeCell ref="N56:O56"/>
    <mergeCell ref="Q56:R56"/>
    <mergeCell ref="T56:U56"/>
    <mergeCell ref="AC56:AC57"/>
    <mergeCell ref="D58:E59"/>
    <mergeCell ref="F58:F59"/>
    <mergeCell ref="G58:J58"/>
    <mergeCell ref="K58:K59"/>
    <mergeCell ref="AD58:AF59"/>
    <mergeCell ref="AG58:AH59"/>
    <mergeCell ref="M59:N59"/>
    <mergeCell ref="P59:Q59"/>
    <mergeCell ref="S59:T59"/>
    <mergeCell ref="V59:W59"/>
    <mergeCell ref="N58:O58"/>
    <mergeCell ref="Q58:R58"/>
    <mergeCell ref="T58:U58"/>
    <mergeCell ref="AC58:AC59"/>
    <mergeCell ref="D60:E61"/>
    <mergeCell ref="F60:F61"/>
    <mergeCell ref="G60:I60"/>
    <mergeCell ref="J60:J61"/>
    <mergeCell ref="G61:I61"/>
    <mergeCell ref="AG60:AH61"/>
    <mergeCell ref="Y60:Y61"/>
    <mergeCell ref="Z60:Z61"/>
    <mergeCell ref="W61:X61"/>
    <mergeCell ref="W60:X60"/>
    <mergeCell ref="AD62:AF62"/>
    <mergeCell ref="AA60:AB61"/>
    <mergeCell ref="AC60:AC61"/>
    <mergeCell ref="AD60:AF61"/>
    <mergeCell ref="AG63:AH64"/>
    <mergeCell ref="Z63:Z64"/>
    <mergeCell ref="W64:X64"/>
    <mergeCell ref="L63:L64"/>
    <mergeCell ref="M63:M64"/>
    <mergeCell ref="N63:N64"/>
    <mergeCell ref="O63:P63"/>
    <mergeCell ref="S63:T63"/>
    <mergeCell ref="S64:T64"/>
    <mergeCell ref="Y63:Y64"/>
    <mergeCell ref="AD65:AF65"/>
    <mergeCell ref="AA63:AB64"/>
    <mergeCell ref="AC63:AC64"/>
    <mergeCell ref="AD63:AF64"/>
    <mergeCell ref="AC88:AC89"/>
    <mergeCell ref="AD88:AF89"/>
    <mergeCell ref="AD76:AH76"/>
    <mergeCell ref="A77:Y79"/>
    <mergeCell ref="AD77:AH77"/>
    <mergeCell ref="AD78:AH78"/>
    <mergeCell ref="AD79:AE79"/>
    <mergeCell ref="AG79:AH79"/>
    <mergeCell ref="D88:E89"/>
    <mergeCell ref="F88:F89"/>
    <mergeCell ref="G88:J88"/>
    <mergeCell ref="K88:K89"/>
    <mergeCell ref="M95:N95"/>
    <mergeCell ref="AG88:AH89"/>
    <mergeCell ref="M89:N89"/>
    <mergeCell ref="P89:Q89"/>
    <mergeCell ref="S89:T89"/>
    <mergeCell ref="V89:W89"/>
    <mergeCell ref="AD91:AF91"/>
    <mergeCell ref="N88:O88"/>
    <mergeCell ref="Q88:R88"/>
    <mergeCell ref="T88:U88"/>
    <mergeCell ref="D111:E112"/>
    <mergeCell ref="F111:F112"/>
    <mergeCell ref="P95:Q95"/>
    <mergeCell ref="U95:V95"/>
    <mergeCell ref="J95:K95"/>
    <mergeCell ref="D100:E101"/>
    <mergeCell ref="F100:F101"/>
    <mergeCell ref="G99:G100"/>
    <mergeCell ref="AO92:AP92"/>
    <mergeCell ref="P93:Q93"/>
    <mergeCell ref="T93:U93"/>
    <mergeCell ref="W93:X93"/>
    <mergeCell ref="AD93:AF93"/>
    <mergeCell ref="H99:H100"/>
    <mergeCell ref="I99:I100"/>
    <mergeCell ref="J99:L99"/>
    <mergeCell ref="J100:L100"/>
    <mergeCell ref="F105:F106"/>
    <mergeCell ref="G104:G105"/>
    <mergeCell ref="H104:H105"/>
    <mergeCell ref="H101:H102"/>
    <mergeCell ref="I104:I105"/>
    <mergeCell ref="H106:H107"/>
    <mergeCell ref="M102:O102"/>
    <mergeCell ref="M101:O101"/>
    <mergeCell ref="L101:L102"/>
    <mergeCell ref="I102:K102"/>
    <mergeCell ref="O105:P105"/>
    <mergeCell ref="K106:L106"/>
    <mergeCell ref="N106:O106"/>
    <mergeCell ref="I101:K101"/>
    <mergeCell ref="M99:M100"/>
    <mergeCell ref="N99:N100"/>
    <mergeCell ref="L104:M104"/>
    <mergeCell ref="O104:P104"/>
    <mergeCell ref="AA105:AA106"/>
    <mergeCell ref="AB105:AD106"/>
    <mergeCell ref="R104:R105"/>
    <mergeCell ref="T104:U105"/>
    <mergeCell ref="S104:S105"/>
    <mergeCell ref="S112:T112"/>
    <mergeCell ref="W106:X106"/>
    <mergeCell ref="N107:O107"/>
    <mergeCell ref="W107:X107"/>
    <mergeCell ref="Q106:Q107"/>
    <mergeCell ref="T106:U106"/>
    <mergeCell ref="AE105:AF106"/>
    <mergeCell ref="G112:J112"/>
    <mergeCell ref="G111:J111"/>
    <mergeCell ref="AA111:AA112"/>
    <mergeCell ref="AB111:AD112"/>
    <mergeCell ref="AE111:AF112"/>
    <mergeCell ref="K111:K112"/>
    <mergeCell ref="N111:O111"/>
    <mergeCell ref="R111:S111"/>
    <mergeCell ref="P112:Q112"/>
    <mergeCell ref="K119:L119"/>
    <mergeCell ref="N119:O119"/>
    <mergeCell ref="AB115:AD115"/>
    <mergeCell ref="AB119:AD119"/>
    <mergeCell ref="AB117:AD117"/>
    <mergeCell ref="Q119:S119"/>
    <mergeCell ref="K115:L115"/>
    <mergeCell ref="N115:O115"/>
    <mergeCell ref="Q115:R115"/>
    <mergeCell ref="T115:U115"/>
    <mergeCell ref="AB121:AD122"/>
    <mergeCell ref="D121:E122"/>
    <mergeCell ref="F121:F122"/>
    <mergeCell ref="G121:J121"/>
    <mergeCell ref="K121:K122"/>
    <mergeCell ref="L126:M127"/>
    <mergeCell ref="F127:J127"/>
    <mergeCell ref="F126:J126"/>
    <mergeCell ref="AE121:AF122"/>
    <mergeCell ref="G122:J122"/>
    <mergeCell ref="P122:Q122"/>
    <mergeCell ref="S122:T122"/>
    <mergeCell ref="N121:O121"/>
    <mergeCell ref="R121:S121"/>
    <mergeCell ref="AA121:AA122"/>
    <mergeCell ref="D129:E129"/>
    <mergeCell ref="D130:E130"/>
    <mergeCell ref="F129:F130"/>
    <mergeCell ref="U67:V68"/>
    <mergeCell ref="N67:O67"/>
    <mergeCell ref="R67:S67"/>
    <mergeCell ref="F70:G71"/>
    <mergeCell ref="H70:H71"/>
    <mergeCell ref="E126:E127"/>
    <mergeCell ref="K126:K127"/>
    <mergeCell ref="J130:K130"/>
    <mergeCell ref="M130:O130"/>
    <mergeCell ref="Q130:R130"/>
    <mergeCell ref="J129:K129"/>
    <mergeCell ref="S129:S130"/>
    <mergeCell ref="T129:U130"/>
    <mergeCell ref="V129:V130"/>
    <mergeCell ref="W129:X130"/>
    <mergeCell ref="AE129:AH130"/>
    <mergeCell ref="F67:F68"/>
    <mergeCell ref="I67:I68"/>
    <mergeCell ref="J67:K68"/>
    <mergeCell ref="P67:P68"/>
    <mergeCell ref="T67:T68"/>
    <mergeCell ref="AC129:AD130"/>
    <mergeCell ref="AB129:AB130"/>
    <mergeCell ref="Y129:Y130"/>
    <mergeCell ref="Z129:AA130"/>
    <mergeCell ref="AC67:AC68"/>
    <mergeCell ref="AD67:AE68"/>
    <mergeCell ref="AF67:AJ68"/>
    <mergeCell ref="W67:W68"/>
    <mergeCell ref="X67:Y68"/>
    <mergeCell ref="Z67:Z68"/>
    <mergeCell ref="AA67:AB68"/>
    <mergeCell ref="D63:E64"/>
    <mergeCell ref="F63:F64"/>
    <mergeCell ref="G63:I63"/>
    <mergeCell ref="J63:J64"/>
    <mergeCell ref="G64:I64"/>
    <mergeCell ref="D67:E67"/>
    <mergeCell ref="D68:E68"/>
    <mergeCell ref="G67:H67"/>
    <mergeCell ref="G68:H68"/>
    <mergeCell ref="M65:N65"/>
    <mergeCell ref="P65:Q65"/>
    <mergeCell ref="M62:N62"/>
    <mergeCell ref="P62:Q62"/>
    <mergeCell ref="F72:G73"/>
    <mergeCell ref="H72:H73"/>
    <mergeCell ref="L67:L68"/>
    <mergeCell ref="M68:O68"/>
    <mergeCell ref="D52:E52"/>
    <mergeCell ref="F52:F53"/>
    <mergeCell ref="G52:H52"/>
    <mergeCell ref="I52:I53"/>
    <mergeCell ref="J52:K53"/>
    <mergeCell ref="L52:L53"/>
    <mergeCell ref="N52:O52"/>
    <mergeCell ref="P52:P53"/>
    <mergeCell ref="L60:L61"/>
    <mergeCell ref="U52:V53"/>
    <mergeCell ref="W52:W53"/>
    <mergeCell ref="X52:Y53"/>
    <mergeCell ref="M60:M61"/>
    <mergeCell ref="N60:N61"/>
    <mergeCell ref="O60:P60"/>
    <mergeCell ref="S60:T60"/>
    <mergeCell ref="S61:T61"/>
    <mergeCell ref="Q68:S68"/>
    <mergeCell ref="R52:S52"/>
    <mergeCell ref="V63:V64"/>
    <mergeCell ref="W63:X63"/>
    <mergeCell ref="T65:V65"/>
    <mergeCell ref="T62:V62"/>
    <mergeCell ref="V60:V61"/>
    <mergeCell ref="AF52:AJ53"/>
    <mergeCell ref="D53:E53"/>
    <mergeCell ref="G53:H53"/>
    <mergeCell ref="M53:O53"/>
    <mergeCell ref="Q53:S53"/>
    <mergeCell ref="Z52:Z53"/>
    <mergeCell ref="AA52:AB53"/>
    <mergeCell ref="AC52:AC53"/>
    <mergeCell ref="AD52:AE53"/>
    <mergeCell ref="T52:T53"/>
    <mergeCell ref="AC38:AC39"/>
    <mergeCell ref="R38:S38"/>
    <mergeCell ref="T38:T39"/>
    <mergeCell ref="U38:V39"/>
    <mergeCell ref="W38:W39"/>
    <mergeCell ref="F38:F39"/>
    <mergeCell ref="X38:Y39"/>
    <mergeCell ref="Z38:Z39"/>
    <mergeCell ref="AA38:AB39"/>
    <mergeCell ref="G38:H38"/>
    <mergeCell ref="I38:I39"/>
    <mergeCell ref="AD22:AE22"/>
    <mergeCell ref="D39:E39"/>
    <mergeCell ref="G39:H39"/>
    <mergeCell ref="M39:O39"/>
    <mergeCell ref="Q39:S39"/>
    <mergeCell ref="J38:K39"/>
    <mergeCell ref="L38:L39"/>
    <mergeCell ref="N38:O38"/>
    <mergeCell ref="P38:P39"/>
    <mergeCell ref="D38:E38"/>
    <mergeCell ref="AD38:AE39"/>
    <mergeCell ref="AF38:AJ39"/>
    <mergeCell ref="AG34:AH35"/>
    <mergeCell ref="AD23:AE23"/>
    <mergeCell ref="AD24:AE24"/>
    <mergeCell ref="AD14:AE14"/>
    <mergeCell ref="AD19:AE19"/>
    <mergeCell ref="AD20:AE20"/>
    <mergeCell ref="AD21:AE21"/>
    <mergeCell ref="AD15:AE15"/>
    <mergeCell ref="AD16:AE16"/>
    <mergeCell ref="AD17:AE17"/>
    <mergeCell ref="AD18:AE18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2"/>
  <rowBreaks count="1" manualBreakCount="1">
    <brk id="75" max="3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AH75"/>
  <sheetViews>
    <sheetView view="pageBreakPreview" zoomScaleSheetLayoutView="100" workbookViewId="0" topLeftCell="A1">
      <selection activeCell="X5" sqref="X5"/>
    </sheetView>
  </sheetViews>
  <sheetFormatPr defaultColWidth="8.88671875" defaultRowHeight="13.5"/>
  <cols>
    <col min="1" max="50" width="2.3359375" style="2" customWidth="1"/>
    <col min="51" max="16384" width="8.88671875" style="2" customWidth="1"/>
  </cols>
  <sheetData>
    <row r="1" spans="1:34" ht="9.75" customHeight="1">
      <c r="A1" s="457" t="e">
        <f>title</f>
        <v>#NAME?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  <c r="Z1" s="457"/>
      <c r="AA1" s="457"/>
      <c r="AB1" s="457"/>
      <c r="AC1" s="457"/>
      <c r="AD1" s="457"/>
      <c r="AE1" s="457"/>
      <c r="AF1" s="457"/>
      <c r="AG1" s="457"/>
      <c r="AH1" s="457"/>
    </row>
    <row r="2" spans="1:34" ht="9.75" customHeight="1">
      <c r="A2" s="458"/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8"/>
      <c r="Y2" s="458"/>
      <c r="Z2" s="458"/>
      <c r="AA2" s="458"/>
      <c r="AB2" s="458"/>
      <c r="AC2" s="458"/>
      <c r="AD2" s="458"/>
      <c r="AE2" s="458"/>
      <c r="AF2" s="458"/>
      <c r="AG2" s="458"/>
      <c r="AH2" s="458"/>
    </row>
    <row r="3" spans="1:34" ht="9.75" customHeight="1">
      <c r="A3" s="459"/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59"/>
      <c r="AA3" s="459"/>
      <c r="AB3" s="459"/>
      <c r="AC3" s="459"/>
      <c r="AD3" s="459"/>
      <c r="AE3" s="459"/>
      <c r="AF3" s="459"/>
      <c r="AG3" s="459"/>
      <c r="AH3" s="459"/>
    </row>
    <row r="4" spans="1:32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"/>
      <c r="W4" s="3"/>
      <c r="X4" s="3"/>
      <c r="Y4" s="3"/>
      <c r="Z4" s="3"/>
      <c r="AA4" s="3"/>
      <c r="AB4" s="3"/>
      <c r="AC4" s="4"/>
      <c r="AD4" s="5"/>
      <c r="AE4" s="5"/>
      <c r="AF4" s="5"/>
    </row>
    <row r="5" spans="1:29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C5" s="3"/>
    </row>
    <row r="6" spans="1:34" ht="9.75" customHeight="1">
      <c r="A6" s="6"/>
      <c r="B6" s="6" t="s">
        <v>9</v>
      </c>
      <c r="C6" s="6"/>
      <c r="D6" s="6"/>
      <c r="E6" s="7" t="str">
        <f>project</f>
        <v>Later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3"/>
      <c r="R6" s="3"/>
      <c r="S6" s="3"/>
      <c r="T6" s="5"/>
      <c r="U6" s="5"/>
      <c r="V6" s="5"/>
      <c r="Y6" s="3"/>
      <c r="Z6" s="6" t="s">
        <v>10</v>
      </c>
      <c r="AA6" s="3"/>
      <c r="AB6" s="3"/>
      <c r="AC6" s="233" t="e">
        <f>docno</f>
        <v>#NAME?</v>
      </c>
      <c r="AD6" s="233"/>
      <c r="AE6" s="233"/>
      <c r="AF6" s="233"/>
      <c r="AG6" s="233"/>
      <c r="AH6" s="4"/>
    </row>
    <row r="7" spans="1:34" ht="9.75" customHeight="1">
      <c r="A7" s="6"/>
      <c r="B7" s="6" t="s">
        <v>11</v>
      </c>
      <c r="C7" s="6"/>
      <c r="D7" s="6"/>
      <c r="E7" s="7" t="str">
        <f>itemno</f>
        <v>H - 100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5"/>
      <c r="U7" s="5"/>
      <c r="V7" s="5"/>
      <c r="Y7" s="6"/>
      <c r="Z7" s="6" t="s">
        <v>12</v>
      </c>
      <c r="AA7" s="3"/>
      <c r="AB7" s="3"/>
      <c r="AC7" s="235">
        <v>0</v>
      </c>
      <c r="AD7" s="235"/>
      <c r="AE7" s="8" t="s">
        <v>13</v>
      </c>
      <c r="AF7" s="233" t="e">
        <f>sheetqty</f>
        <v>#NAME?</v>
      </c>
      <c r="AG7" s="233"/>
      <c r="AH7" s="4"/>
    </row>
    <row r="8" spans="1:34" ht="9.75" customHeight="1">
      <c r="A8" s="6"/>
      <c r="B8" s="6" t="s">
        <v>14</v>
      </c>
      <c r="C8" s="6"/>
      <c r="D8" s="6"/>
      <c r="E8" s="7" t="str">
        <f>service</f>
        <v>Air Cooled Heat Exchanger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Y8" s="6"/>
      <c r="Z8" s="3" t="s">
        <v>19</v>
      </c>
      <c r="AA8" s="3"/>
      <c r="AB8" s="3"/>
      <c r="AC8" s="235" t="s">
        <v>20</v>
      </c>
      <c r="AD8" s="235"/>
      <c r="AE8" s="235"/>
      <c r="AF8" s="235"/>
      <c r="AG8" s="235"/>
      <c r="AH8" s="3"/>
    </row>
    <row r="9" spans="1:33" ht="9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3"/>
      <c r="W9" s="3"/>
      <c r="X9" s="3"/>
      <c r="Y9" s="3"/>
      <c r="Z9" s="6" t="s">
        <v>15</v>
      </c>
      <c r="AA9" s="3"/>
      <c r="AB9" s="3"/>
      <c r="AC9" s="8">
        <v>0</v>
      </c>
      <c r="AD9" s="14"/>
      <c r="AE9" s="14"/>
      <c r="AF9" s="14"/>
      <c r="AG9" s="14"/>
    </row>
    <row r="10" spans="1:29" ht="9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3"/>
      <c r="W10" s="3"/>
      <c r="X10" s="3"/>
      <c r="Y10" s="3"/>
      <c r="Z10" s="3"/>
      <c r="AA10" s="3"/>
      <c r="AB10" s="3"/>
      <c r="AC10" s="3"/>
    </row>
    <row r="11" spans="1:29" ht="9.75" customHeight="1">
      <c r="A11" s="1"/>
      <c r="B11" s="1"/>
      <c r="C11" s="12" t="s">
        <v>16</v>
      </c>
      <c r="D11" s="9" t="s">
        <v>2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AC11" s="3"/>
    </row>
    <row r="12" spans="1:29" ht="9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3"/>
      <c r="W12" s="3"/>
      <c r="X12" s="3"/>
      <c r="Y12" s="3"/>
      <c r="Z12" s="3"/>
      <c r="AA12" s="3"/>
      <c r="AB12" s="3"/>
      <c r="AC12" s="3"/>
    </row>
    <row r="13" spans="1:29" ht="9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3"/>
      <c r="W13" s="3"/>
      <c r="X13" s="3"/>
      <c r="Y13" s="3"/>
      <c r="Z13" s="3"/>
      <c r="AA13" s="3"/>
      <c r="AB13" s="3"/>
      <c r="AC13" s="3"/>
    </row>
    <row r="14" spans="1:29" ht="9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3"/>
      <c r="W14" s="3"/>
      <c r="X14" s="3"/>
      <c r="Y14" s="3"/>
      <c r="Z14" s="3"/>
      <c r="AA14" s="3"/>
      <c r="AB14" s="3"/>
      <c r="AC14" s="3"/>
    </row>
    <row r="15" spans="1:29" ht="9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AC15" s="3"/>
    </row>
    <row r="16" spans="1:29" ht="9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AC16" s="3"/>
    </row>
    <row r="17" spans="1:29" ht="9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AC17" s="3"/>
    </row>
    <row r="18" spans="1:29" ht="9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3"/>
      <c r="W18" s="3"/>
      <c r="X18" s="3"/>
      <c r="Y18" s="3"/>
      <c r="Z18" s="3"/>
      <c r="AA18" s="3"/>
      <c r="AB18" s="3"/>
      <c r="AC18" s="3"/>
    </row>
    <row r="19" spans="1:29" ht="9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AC19" s="3"/>
    </row>
    <row r="20" spans="1:28" ht="9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3"/>
      <c r="W20" s="3"/>
      <c r="X20" s="3"/>
      <c r="Y20" s="3"/>
      <c r="Z20" s="3"/>
      <c r="AA20" s="3"/>
      <c r="AB20" s="3"/>
    </row>
    <row r="21" spans="1:28" ht="9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3"/>
      <c r="W21" s="3"/>
      <c r="X21" s="3"/>
      <c r="Y21" s="3"/>
      <c r="Z21" s="3"/>
      <c r="AA21" s="3"/>
      <c r="AB21" s="3"/>
    </row>
    <row r="22" spans="1:29" ht="9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AC22" s="3"/>
    </row>
    <row r="23" spans="1:29" ht="9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3"/>
      <c r="W23" s="3"/>
      <c r="X23" s="3"/>
      <c r="Y23" s="3"/>
      <c r="Z23" s="3"/>
      <c r="AA23" s="3"/>
      <c r="AB23" s="3"/>
      <c r="AC23" s="3"/>
    </row>
    <row r="24" spans="1:29" ht="9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3"/>
      <c r="W24" s="3"/>
      <c r="X24" s="3"/>
      <c r="Y24" s="3"/>
      <c r="Z24" s="3"/>
      <c r="AA24" s="3"/>
      <c r="AB24" s="3"/>
      <c r="AC24" s="3"/>
    </row>
    <row r="25" spans="1:29" ht="9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AC25" s="3"/>
    </row>
    <row r="26" spans="1:29" ht="9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3"/>
      <c r="W26" s="3"/>
      <c r="X26" s="3"/>
      <c r="Y26" s="3"/>
      <c r="Z26" s="3"/>
      <c r="AA26" s="3"/>
      <c r="AB26" s="3"/>
      <c r="AC26" s="3"/>
    </row>
    <row r="27" spans="1:29" ht="9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AC27" s="3"/>
    </row>
    <row r="28" spans="1:29" ht="9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AC28" s="3"/>
    </row>
    <row r="29" spans="1:29" ht="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AC29" s="3"/>
    </row>
    <row r="30" spans="1:29" ht="9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3"/>
      <c r="W30" s="3"/>
      <c r="X30" s="3"/>
      <c r="Y30" s="3"/>
      <c r="Z30" s="3"/>
      <c r="AA30" s="3"/>
      <c r="AB30" s="3"/>
      <c r="AC30" s="3"/>
    </row>
    <row r="31" spans="1:29" ht="9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AC31" s="3"/>
    </row>
    <row r="32" spans="1:28" ht="9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3"/>
      <c r="W32" s="3"/>
      <c r="X32" s="3"/>
      <c r="Y32" s="3"/>
      <c r="Z32" s="3"/>
      <c r="AA32" s="3"/>
      <c r="AB32" s="3"/>
    </row>
    <row r="33" spans="1:28" ht="9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3"/>
      <c r="W33" s="3"/>
      <c r="X33" s="3"/>
      <c r="Y33" s="3"/>
      <c r="Z33" s="3"/>
      <c r="AA33" s="3"/>
      <c r="AB33" s="3"/>
    </row>
    <row r="34" spans="1:29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AC34" s="3"/>
    </row>
    <row r="35" spans="1:29" ht="9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3"/>
      <c r="W35" s="3"/>
      <c r="X35" s="3"/>
      <c r="Y35" s="3"/>
      <c r="Z35" s="3"/>
      <c r="AA35" s="3"/>
      <c r="AB35" s="3"/>
      <c r="AC35" s="3"/>
    </row>
    <row r="36" spans="1:29" ht="9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3"/>
      <c r="W36" s="3"/>
      <c r="X36" s="3"/>
      <c r="Y36" s="3"/>
      <c r="Z36" s="3"/>
      <c r="AA36" s="3"/>
      <c r="AB36" s="3"/>
      <c r="AC36" s="3"/>
    </row>
    <row r="37" spans="1:29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AC37" s="3"/>
    </row>
    <row r="38" spans="1:29" ht="9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3"/>
      <c r="W38" s="3"/>
      <c r="X38" s="3"/>
      <c r="Y38" s="3"/>
      <c r="Z38" s="3"/>
      <c r="AA38" s="3"/>
      <c r="AB38" s="3"/>
      <c r="AC38" s="3"/>
    </row>
    <row r="39" spans="1:29" ht="9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AC39" s="3"/>
    </row>
    <row r="40" spans="1:29" ht="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AC40" s="3"/>
    </row>
    <row r="41" spans="1:29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AC41" s="3"/>
    </row>
    <row r="42" spans="1:29" ht="9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3"/>
      <c r="W42" s="3"/>
      <c r="X42" s="3"/>
      <c r="Y42" s="3"/>
      <c r="Z42" s="3"/>
      <c r="AA42" s="3"/>
      <c r="AB42" s="3"/>
      <c r="AC42" s="3"/>
    </row>
    <row r="43" spans="1:29" ht="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AC43" s="3"/>
    </row>
    <row r="44" spans="1:28" ht="9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3"/>
      <c r="W44" s="3"/>
      <c r="X44" s="3"/>
      <c r="Y44" s="3"/>
      <c r="Z44" s="3"/>
      <c r="AA44" s="3"/>
      <c r="AB44" s="3"/>
    </row>
    <row r="45" spans="1:28" ht="9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3"/>
      <c r="W45" s="3"/>
      <c r="X45" s="3"/>
      <c r="Y45" s="3"/>
      <c r="Z45" s="3"/>
      <c r="AA45" s="3"/>
      <c r="AB45" s="3"/>
    </row>
    <row r="46" spans="1:29" ht="9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AC46" s="3"/>
    </row>
    <row r="47" spans="1:29" ht="9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3"/>
      <c r="W47" s="3"/>
      <c r="X47" s="3"/>
      <c r="Y47" s="3"/>
      <c r="Z47" s="3"/>
      <c r="AA47" s="3"/>
      <c r="AB47" s="3"/>
      <c r="AC47" s="3"/>
    </row>
    <row r="48" spans="1:29" ht="9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3"/>
      <c r="W48" s="3"/>
      <c r="X48" s="3"/>
      <c r="Y48" s="3"/>
      <c r="Z48" s="3"/>
      <c r="AA48" s="3"/>
      <c r="AB48" s="3"/>
      <c r="AC48" s="3"/>
    </row>
    <row r="49" spans="1:29" ht="9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AC49" s="3"/>
    </row>
    <row r="50" spans="1:29" ht="9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3"/>
      <c r="W50" s="3"/>
      <c r="X50" s="3"/>
      <c r="Y50" s="3"/>
      <c r="Z50" s="3"/>
      <c r="AA50" s="3"/>
      <c r="AB50" s="3"/>
      <c r="AC50" s="3"/>
    </row>
    <row r="51" spans="1:29" ht="9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AC51" s="3"/>
    </row>
    <row r="52" spans="1:29" ht="9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AC52" s="3"/>
    </row>
    <row r="53" spans="1:29" ht="9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AC53" s="3"/>
    </row>
    <row r="54" spans="1:29" ht="9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3"/>
      <c r="W54" s="3"/>
      <c r="X54" s="3"/>
      <c r="Y54" s="3"/>
      <c r="Z54" s="3"/>
      <c r="AA54" s="3"/>
      <c r="AB54" s="3"/>
      <c r="AC54" s="3"/>
    </row>
    <row r="55" spans="1:29" ht="9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AC55" s="3"/>
    </row>
    <row r="56" spans="1:28" ht="9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3"/>
      <c r="W56" s="3"/>
      <c r="X56" s="3"/>
      <c r="Y56" s="3"/>
      <c r="Z56" s="3"/>
      <c r="AA56" s="3"/>
      <c r="AB56" s="3"/>
    </row>
    <row r="57" spans="1:28" ht="9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3"/>
      <c r="W57" s="3"/>
      <c r="X57" s="3"/>
      <c r="Y57" s="3"/>
      <c r="Z57" s="3"/>
      <c r="AA57" s="3"/>
      <c r="AB57" s="3"/>
    </row>
    <row r="58" spans="1:29" ht="9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AC58" s="3"/>
    </row>
    <row r="59" spans="1:28" ht="9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3"/>
      <c r="W59" s="3"/>
      <c r="X59" s="3"/>
      <c r="Y59" s="3"/>
      <c r="Z59" s="3"/>
      <c r="AA59" s="3"/>
      <c r="AB59" s="3"/>
    </row>
    <row r="60" spans="1:28" ht="9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3"/>
      <c r="W60" s="3"/>
      <c r="X60" s="3"/>
      <c r="Y60" s="3"/>
      <c r="Z60" s="3"/>
      <c r="AA60" s="3"/>
      <c r="AB60" s="3"/>
    </row>
    <row r="61" spans="1:29" ht="9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AC61" s="3"/>
    </row>
    <row r="62" spans="1:29" ht="9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3"/>
      <c r="W62" s="3"/>
      <c r="X62" s="3"/>
      <c r="Y62" s="3"/>
      <c r="Z62" s="3"/>
      <c r="AA62" s="3"/>
      <c r="AB62" s="3"/>
      <c r="AC62" s="3"/>
    </row>
    <row r="63" spans="1:29" ht="9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3"/>
      <c r="W63" s="3"/>
      <c r="X63" s="3"/>
      <c r="Y63" s="3"/>
      <c r="Z63" s="3"/>
      <c r="AA63" s="3"/>
      <c r="AB63" s="3"/>
      <c r="AC63" s="3"/>
    </row>
    <row r="64" spans="1:29" ht="9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AC64" s="3"/>
    </row>
    <row r="65" spans="1:29" ht="9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3"/>
      <c r="W65" s="3"/>
      <c r="X65" s="3"/>
      <c r="Y65" s="3"/>
      <c r="Z65" s="3"/>
      <c r="AA65" s="3"/>
      <c r="AB65" s="3"/>
      <c r="AC65" s="3"/>
    </row>
    <row r="66" spans="1:29" ht="9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AC66" s="3"/>
    </row>
    <row r="67" spans="1:29" ht="9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AC67" s="3"/>
    </row>
    <row r="68" spans="1:29" ht="9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AC68" s="3"/>
    </row>
    <row r="69" spans="1:29" ht="9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3"/>
      <c r="W69" s="3"/>
      <c r="X69" s="3"/>
      <c r="Y69" s="3"/>
      <c r="Z69" s="3"/>
      <c r="AA69" s="3"/>
      <c r="AB69" s="3"/>
      <c r="AC69" s="3"/>
    </row>
    <row r="70" spans="1:29" ht="9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3"/>
      <c r="W70" s="3"/>
      <c r="X70" s="3"/>
      <c r="Y70" s="3"/>
      <c r="Z70" s="3"/>
      <c r="AA70" s="3"/>
      <c r="AB70" s="3"/>
      <c r="AC70" s="3"/>
    </row>
    <row r="71" spans="1:29" ht="9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3"/>
      <c r="W71" s="3"/>
      <c r="X71" s="3"/>
      <c r="Y71" s="3"/>
      <c r="Z71" s="3"/>
      <c r="AA71" s="3"/>
      <c r="AB71" s="3"/>
      <c r="AC71" s="3"/>
    </row>
    <row r="72" spans="1:29" ht="9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AC72" s="3"/>
    </row>
    <row r="73" spans="1:28" ht="9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3"/>
      <c r="W73" s="3"/>
      <c r="X73" s="3"/>
      <c r="Y73" s="3"/>
      <c r="Z73" s="3"/>
      <c r="AA73" s="3"/>
      <c r="AB73" s="3"/>
    </row>
    <row r="74" spans="1:28" ht="9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34" ht="9.75" customHeight="1">
      <c r="A75" s="10" t="str">
        <f>cosymbol</f>
        <v> NTES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1" t="str">
        <f>coname</f>
        <v>Narai Thermal Engineering Services </v>
      </c>
    </row>
    <row r="117" ht="13.5" customHeight="1"/>
    <row r="118" ht="13.5" customHeight="1"/>
  </sheetData>
  <mergeCells count="5">
    <mergeCell ref="AC8:AG8"/>
    <mergeCell ref="A1:AH3"/>
    <mergeCell ref="AC6:AG6"/>
    <mergeCell ref="AC7:AD7"/>
    <mergeCell ref="AF7:AG7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NTES</cp:lastModifiedBy>
  <cp:lastPrinted>2019-07-14T10:44:25Z</cp:lastPrinted>
  <dcterms:created xsi:type="dcterms:W3CDTF">2003-02-24T17:06:01Z</dcterms:created>
  <dcterms:modified xsi:type="dcterms:W3CDTF">2020-01-05T03:43:25Z</dcterms:modified>
  <cp:category/>
  <cp:version/>
  <cp:contentType/>
  <cp:contentStatus/>
</cp:coreProperties>
</file>